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8560" windowHeight="15020" activeTab="10"/>
  </bookViews>
  <sheets>
    <sheet name="Staffing" sheetId="1" r:id="rId1"/>
    <sheet name="Depreciation1-2011" sheetId="2" r:id="rId2"/>
    <sheet name="DEPRECIATION" sheetId="3" r:id="rId3"/>
    <sheet name="5yr P&amp;L-draft2011" sheetId="4" r:id="rId4"/>
    <sheet name="5YR P&amp;L" sheetId="5" r:id="rId5"/>
    <sheet name="Balance Sheet 2011" sheetId="6" r:id="rId6"/>
    <sheet name="uses and sources 2011" sheetId="7" r:id="rId7"/>
    <sheet name="Use &amp; source" sheetId="8" r:id="rId8"/>
    <sheet name=" 2011 CF Projection" sheetId="9" r:id="rId9"/>
    <sheet name="Amortization" sheetId="10" r:id="rId10"/>
    <sheet name="2010 Example P&amp;Lmonth by month" sheetId="11" r:id="rId11"/>
  </sheets>
  <externalReferences>
    <externalReference r:id="rId14"/>
  </externalReferences>
  <definedNames>
    <definedName name="Beg_Bal">'Amortization'!$C$1:$C$298</definedName>
    <definedName name="End_Bal">#REF!</definedName>
    <definedName name="Extra_Pay">'Amortization'!$E$1:$E$298</definedName>
    <definedName name="Header_Row">ROW(#REF!)</definedName>
    <definedName name="Int">'Amortization'!$H$1:$H$298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'Amortization'!#REF!</definedName>
    <definedName name="Number_of_Payments">MATCH(0.01,End_Bal,-1)+1</definedName>
    <definedName name="Pay_Num">'Amortization'!$A$1:$A$298</definedName>
    <definedName name="Princ">'Amortization'!$G$1:$G$298</definedName>
    <definedName name="_xlnm.Print_Area" localSheetId="10">'2010 Example P&amp;Lmonth by month'!$A$1:$AF$185</definedName>
    <definedName name="Sched_Pay">'Amortization'!$D$1:$D$298</definedName>
    <definedName name="Scheduled_Extra_Payments">'Amortization'!#REF!</definedName>
    <definedName name="Scheduled_Monthly_Payment">'Amortization'!#REF!</definedName>
    <definedName name="Total_Pay">'Amortization'!$F$1:$F$298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<sst xmlns="http://schemas.openxmlformats.org/spreadsheetml/2006/main" count="1158" uniqueCount="574">
  <si>
    <t>OPEN</t>
  </si>
  <si>
    <t>open patio</t>
  </si>
  <si>
    <t>close</t>
  </si>
  <si>
    <t>21 DAYS</t>
  </si>
  <si>
    <t>patio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</si>
  <si>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</si>
  <si>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</si>
  <si>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</si>
  <si>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</si>
  <si>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</si>
  <si>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</si>
  <si>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</si>
  <si>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</si>
  <si>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</si>
  <si>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</si>
  <si>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</si>
  <si>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</si>
  <si>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</si>
  <si>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Food Sales</t>
  </si>
  <si>
    <t>Liquor Sales</t>
  </si>
  <si>
    <t>Beer Sales</t>
  </si>
  <si>
    <t>Wine Sales</t>
  </si>
  <si>
    <t>Cover Charges</t>
  </si>
  <si>
    <t>Beverages</t>
  </si>
  <si>
    <t>Bowling</t>
  </si>
  <si>
    <t>Room Rental</t>
  </si>
  <si>
    <t>Pool/Juke</t>
  </si>
  <si>
    <t>Deposit</t>
  </si>
  <si>
    <t>Games</t>
  </si>
  <si>
    <t>Merchandise</t>
  </si>
  <si>
    <t>Discounts</t>
  </si>
  <si>
    <t xml:space="preserve">      Total</t>
  </si>
  <si>
    <t>Food Cost</t>
  </si>
  <si>
    <t>Liquor Cost (23)</t>
  </si>
  <si>
    <t>Liquor Cost</t>
  </si>
  <si>
    <t>Beer Cost (25)</t>
  </si>
  <si>
    <t>Beer Cost</t>
  </si>
  <si>
    <t>Wine Cost (28)</t>
  </si>
  <si>
    <t>Wine Cost</t>
  </si>
  <si>
    <t>Paper Goods</t>
  </si>
  <si>
    <t>TOTAL COGS</t>
  </si>
  <si>
    <t>Salaries &amp; Wages</t>
  </si>
  <si>
    <t>Management</t>
  </si>
  <si>
    <t>Kitchen</t>
  </si>
  <si>
    <t>Kitchen (including mgr)</t>
  </si>
  <si>
    <t>FOH</t>
  </si>
  <si>
    <t>Bar</t>
  </si>
  <si>
    <t>cleaning</t>
  </si>
  <si>
    <t>Delivery</t>
  </si>
  <si>
    <t>Entertainment/Security</t>
  </si>
  <si>
    <t>security</t>
  </si>
  <si>
    <t>Bonuses</t>
  </si>
  <si>
    <t>Vacation Pay</t>
  </si>
  <si>
    <t>Employee Benefits</t>
  </si>
  <si>
    <t>Employee Meals (Cost)</t>
  </si>
  <si>
    <t>Employer Payroll Tax Expense</t>
  </si>
  <si>
    <t>Workers' Compensation Insurance</t>
  </si>
  <si>
    <t>Medical &amp; Dental Insurance</t>
  </si>
  <si>
    <t>Miscellaneous Employee Benefits</t>
  </si>
  <si>
    <t>Direct Operating Expenses</t>
  </si>
  <si>
    <t>Auto/Gas Expense - Opeations</t>
  </si>
  <si>
    <t>China/Glass/Flatware Replacement</t>
  </si>
  <si>
    <t>Decorations/Flowers</t>
  </si>
  <si>
    <t>Laundry/Linen/Uniforms</t>
  </si>
  <si>
    <t>Licenses/Permits</t>
  </si>
  <si>
    <t>Menus and Wine Lists</t>
  </si>
  <si>
    <t>Supplies-Banquet/Catering</t>
  </si>
  <si>
    <t>Supplies-Bar</t>
  </si>
  <si>
    <t>Supplies-Cleaning/Janitorial</t>
  </si>
  <si>
    <t>Supplies-Kitchen</t>
  </si>
  <si>
    <t>Supplies-Restaurant</t>
  </si>
  <si>
    <t>Music &amp; Entertainment</t>
  </si>
  <si>
    <t>Sound Engineer - system Maintenance</t>
  </si>
  <si>
    <t>Music Licensing Fees (ASCAP, etc.)</t>
  </si>
  <si>
    <t>Other Music/Entertainment Exp.</t>
  </si>
  <si>
    <t>Marketing</t>
  </si>
  <si>
    <t>PR Firm</t>
  </si>
  <si>
    <t>Web Hosting</t>
  </si>
  <si>
    <t>Constant Contact</t>
  </si>
  <si>
    <t>Moving Targets</t>
  </si>
  <si>
    <t>WBUR</t>
  </si>
  <si>
    <t>Super Coups</t>
  </si>
  <si>
    <t>T-shirts</t>
  </si>
  <si>
    <t>Comp Food &amp; Beverage (cost)</t>
  </si>
  <si>
    <t>Donation/Charities</t>
  </si>
  <si>
    <t>Misc. Promotional Expenses</t>
  </si>
  <si>
    <t>Utility Services</t>
  </si>
  <si>
    <t>Electricity</t>
  </si>
  <si>
    <t>Natural Gas</t>
  </si>
  <si>
    <t>Scavenger/Waste Removal</t>
  </si>
  <si>
    <t>Occupancy Costs</t>
  </si>
  <si>
    <t>Rent/Lease (Premises)</t>
  </si>
  <si>
    <t>Equipment Lease</t>
  </si>
  <si>
    <t>Property Taxes</t>
  </si>
  <si>
    <t>Insurance - Property</t>
  </si>
  <si>
    <t>Other Taxes</t>
  </si>
  <si>
    <t>Repairs &amp; Maintenance</t>
  </si>
  <si>
    <t>Grounds/Gardening</t>
  </si>
  <si>
    <t>Maintenance Contracts-Equipment</t>
  </si>
  <si>
    <t>Repairs &amp; Maintenance - Equipment</t>
  </si>
  <si>
    <t>Repairs &amp; Maintenance - Premises</t>
  </si>
  <si>
    <t>Miscellaneous Repairs &amp; Maintenance</t>
  </si>
  <si>
    <t>Depreciation &amp; Amortization</t>
  </si>
  <si>
    <t>Depreciation Expense</t>
  </si>
  <si>
    <t>Amortization Expense</t>
  </si>
  <si>
    <t>General &amp; Administrative</t>
  </si>
  <si>
    <t>Bank Charges</t>
  </si>
  <si>
    <t>Credit Card Fees</t>
  </si>
  <si>
    <t>Dues and Subscriptions</t>
  </si>
  <si>
    <t>Entertainment (Business Operation)</t>
  </si>
  <si>
    <t>Insurance-Liability/Umbrella</t>
  </si>
  <si>
    <t>Insurance-Miscellaneous</t>
  </si>
  <si>
    <t>Miscellaneous Expenses</t>
  </si>
  <si>
    <t>Office/Computer Supplies</t>
  </si>
  <si>
    <t>Printing and Copying</t>
  </si>
  <si>
    <t>Outside Services (Payroll+bookkeeping)</t>
  </si>
  <si>
    <t>Postage/Delivery (A&amp;G)</t>
  </si>
  <si>
    <t>Professional Services (Legal/Acctg/Consult)</t>
  </si>
  <si>
    <t>Rent-Other</t>
  </si>
  <si>
    <t>Security/Alarm</t>
  </si>
  <si>
    <t>Telephone/Communications</t>
  </si>
  <si>
    <t>Training/Seminars</t>
  </si>
  <si>
    <t>Travel Expenses</t>
  </si>
  <si>
    <t>TOTAL EXPENSES</t>
  </si>
  <si>
    <t>OPERATING INCOME BEFORE OTHER EXPENSES</t>
  </si>
  <si>
    <t>Interest Expense</t>
  </si>
  <si>
    <t>Debt Expense</t>
  </si>
  <si>
    <t>Other Non-Operating Expenses</t>
  </si>
  <si>
    <t>Administrative Fee</t>
  </si>
  <si>
    <t>INCOME AFTER NON-OPERATING EXPENSES</t>
  </si>
  <si>
    <t>Deduct Capital Reserve</t>
  </si>
  <si>
    <t>Deduct Savings 1%</t>
  </si>
  <si>
    <t>Add Depreciation/Amort.</t>
  </si>
  <si>
    <t>Add Other Income</t>
  </si>
  <si>
    <t>Net Cash Flow</t>
  </si>
  <si>
    <t>Debt Service Ratio</t>
  </si>
  <si>
    <t>Breakeven</t>
  </si>
  <si>
    <t>Critical Ratio</t>
  </si>
  <si>
    <t>weekly dig</t>
  </si>
  <si>
    <t>google</t>
  </si>
  <si>
    <t>Gift Sold/Games</t>
  </si>
  <si>
    <t>Staff Development/Bus. Meals</t>
  </si>
  <si>
    <t>phoenix</t>
  </si>
  <si>
    <t>Entertainment (Cable TV)</t>
  </si>
  <si>
    <t>cash s hortages</t>
  </si>
  <si>
    <t>December</t>
  </si>
  <si>
    <t>water</t>
  </si>
  <si>
    <t>Deduct Capital Reserve/Expense 1%</t>
  </si>
  <si>
    <t>22 days</t>
  </si>
  <si>
    <t>ASSETS</t>
  </si>
  <si>
    <t>Total Current Assets</t>
  </si>
  <si>
    <t>TOTAL ASSETS</t>
  </si>
  <si>
    <t>LIABILITIES &amp; EQUITY</t>
  </si>
  <si>
    <t>Accrued Expenses</t>
  </si>
  <si>
    <t>Net Income</t>
  </si>
  <si>
    <t>INCOME(CASH RECEIPTS)</t>
  </si>
  <si>
    <t xml:space="preserve">      TOTAL INCOME (CASH RECEIPS)</t>
  </si>
  <si>
    <t>CASH PAID OUT</t>
  </si>
  <si>
    <t xml:space="preserve">      Total Salaries &amp; Wages</t>
  </si>
  <si>
    <t xml:space="preserve">      Total Employees Benefits</t>
  </si>
  <si>
    <t xml:space="preserve">      Total Direct Operating Expenses</t>
  </si>
  <si>
    <t xml:space="preserve">      Total Music &amp; Entertainment</t>
  </si>
  <si>
    <t xml:space="preserve">      Total Marketing</t>
  </si>
  <si>
    <t xml:space="preserve">      Total Occupancy Cost</t>
  </si>
  <si>
    <t xml:space="preserve">      Total Utility Cost</t>
  </si>
  <si>
    <t xml:space="preserve">      Total Depreciation &amp; Amortization</t>
  </si>
  <si>
    <t xml:space="preserve">      Total Gral &amp; Admin </t>
  </si>
  <si>
    <t xml:space="preserve">      Total Repairs &amp; Maintenance</t>
  </si>
  <si>
    <t>Citizens $75,000 LOC (4.91%)</t>
  </si>
  <si>
    <t>Actual Numbers</t>
  </si>
  <si>
    <t>Projected Numbers</t>
  </si>
  <si>
    <t>Property Taxes (~$3,675 per year or 5% of RE taxes)</t>
  </si>
  <si>
    <t>As of February 18, 2009</t>
  </si>
  <si>
    <t xml:space="preserve">      Total Loan Interest Payments</t>
  </si>
  <si>
    <t xml:space="preserve">      Total Loan (Princ.+Interest) Payments</t>
  </si>
  <si>
    <t>Loan Payments (Princ.+Interest)</t>
  </si>
  <si>
    <t>YR 2010</t>
  </si>
  <si>
    <t>YR 2011</t>
  </si>
  <si>
    <t>YR 2012</t>
  </si>
  <si>
    <t>YR 2013</t>
  </si>
  <si>
    <t>YR 2014</t>
  </si>
  <si>
    <t>YR 2015</t>
  </si>
  <si>
    <t>Net Profit &amp; Loss</t>
  </si>
  <si>
    <t>2009 P&amp;L PROJECTION MONTH BY MONTH</t>
  </si>
  <si>
    <t>Times</t>
  </si>
  <si>
    <t>Critical Ratio (COGS +LABOR)/TOTAL INCOME)</t>
  </si>
  <si>
    <t>Breakeven Point</t>
  </si>
  <si>
    <t>LOAN PAYMENT 7 YRS</t>
  </si>
  <si>
    <t>YR 2009</t>
  </si>
  <si>
    <t>CASH ON HAND AND BANK</t>
  </si>
  <si>
    <t>CASH PAID OUT (PURCHASES)</t>
  </si>
  <si>
    <t>TOTAL COGS (PURCHASES)</t>
  </si>
  <si>
    <t>CASH FLOW POSITION</t>
  </si>
  <si>
    <t>TOTAL</t>
  </si>
  <si>
    <t>ORIG.</t>
  </si>
  <si>
    <t>ACTUAL</t>
  </si>
  <si>
    <t>ADJUSTED</t>
  </si>
  <si>
    <t>BUDGET</t>
  </si>
  <si>
    <t>Legal Fees</t>
  </si>
  <si>
    <t>Permits &amp; Licensing Fees</t>
  </si>
  <si>
    <t>Marketing/PR</t>
  </si>
  <si>
    <t>SOURCES</t>
  </si>
  <si>
    <t>USES</t>
  </si>
  <si>
    <t>BALANCE SHEET-OPENING DAY</t>
  </si>
  <si>
    <t>CURRENT ASSETS:</t>
  </si>
  <si>
    <t>Cash/available for business(According to Projection for Opening Day)</t>
  </si>
  <si>
    <t>LONG TERM AND FIXED ASSETS:</t>
  </si>
  <si>
    <t xml:space="preserve"> Total Long Term and Fixed Assets</t>
  </si>
  <si>
    <t>Current Liabilities:</t>
  </si>
  <si>
    <t>Long term liabilities:</t>
  </si>
  <si>
    <t xml:space="preserve"> Total Current and Long Term Liabilities</t>
  </si>
  <si>
    <t>Stockholders' Equity:</t>
  </si>
  <si>
    <t xml:space="preserve">  Total Stockholders' Equity:</t>
  </si>
  <si>
    <t>NOTES:</t>
  </si>
  <si>
    <t>Total Intangible Assets*</t>
  </si>
  <si>
    <t>New Furniture &amp; Fixture</t>
  </si>
  <si>
    <t>Shareholder Payroll</t>
  </si>
  <si>
    <t xml:space="preserve">TOTAL CASH AVAILABLE </t>
  </si>
  <si>
    <t>%</t>
  </si>
  <si>
    <t>As of March 16-2009</t>
  </si>
  <si>
    <t>YEAR 2011</t>
  </si>
  <si>
    <t>YEAR 2012</t>
  </si>
  <si>
    <t>YEAR 2013</t>
  </si>
  <si>
    <t>YEAR 2014</t>
  </si>
  <si>
    <t>COST OF GOOD SOLD (COGS)</t>
  </si>
  <si>
    <t>OPERATING EXPENSES</t>
  </si>
  <si>
    <t xml:space="preserve">Total Operating Expenses </t>
  </si>
  <si>
    <t>GROSS PROFIT</t>
  </si>
  <si>
    <t xml:space="preserve">Total Loan Interest Payment </t>
  </si>
  <si>
    <t>Deduct savings</t>
  </si>
  <si>
    <t>Net Income or Loss</t>
  </si>
  <si>
    <t>Debt Service:</t>
  </si>
  <si>
    <t>DS For Loans</t>
  </si>
  <si>
    <t>Debt Service Coverage Ration (DSCR)</t>
  </si>
  <si>
    <t>Food Cost (30)</t>
  </si>
  <si>
    <t xml:space="preserve">      Total Loan (Interest) Payments</t>
  </si>
  <si>
    <t>10% increase</t>
  </si>
  <si>
    <t>Assuming projected operating expenses increase of 5% per year</t>
  </si>
  <si>
    <t>Small Business Support JPNDC</t>
  </si>
  <si>
    <t>ANNUAL  DEPRECIATION</t>
  </si>
  <si>
    <t>ANNUAL EQUIPMENT AND LEASEHOLD IMPROVEMENT DEPRECIATION</t>
  </si>
  <si>
    <t>Accu.</t>
  </si>
  <si>
    <t>VALUE</t>
  </si>
  <si>
    <t>Year 1</t>
  </si>
  <si>
    <t>Year 2</t>
  </si>
  <si>
    <t>Year 3</t>
  </si>
  <si>
    <t>Year 4</t>
  </si>
  <si>
    <t>Year 5</t>
  </si>
  <si>
    <t>Year 6</t>
  </si>
  <si>
    <t>Year 7</t>
  </si>
  <si>
    <t>Deprec</t>
  </si>
  <si>
    <t>1) ANNUAL DEPRECIATION- EQUIPMENT</t>
  </si>
  <si>
    <t xml:space="preserve"> ** Depreciation10-year, Straight Line Method</t>
  </si>
  <si>
    <t xml:space="preserve">     USED EQUIPMENT</t>
  </si>
  <si>
    <t xml:space="preserve">     NEW EQUIPMENT</t>
  </si>
  <si>
    <t>2) SOME LEASEHOLD IMPROVEMENTS-DEPRECIATION</t>
  </si>
  <si>
    <t xml:space="preserve"> ** Depreciation 29-year, Straight Line Method</t>
  </si>
  <si>
    <t>Hrs/Week</t>
  </si>
  <si>
    <t>Rate</t>
  </si>
  <si>
    <t>Total/Week</t>
  </si>
  <si>
    <t>Salary</t>
  </si>
  <si>
    <t>FTE</t>
  </si>
  <si>
    <t>General Manager</t>
  </si>
  <si>
    <t>ADMIN TOTAL</t>
  </si>
  <si>
    <t>Total Sales</t>
  </si>
  <si>
    <t>Management Labor Cost</t>
  </si>
  <si>
    <t xml:space="preserve">Kitchen </t>
  </si>
  <si>
    <t>Total/Year</t>
  </si>
  <si>
    <t>Dish/Prep</t>
  </si>
  <si>
    <t>Cleaning</t>
  </si>
  <si>
    <t>KITCHEN TOTAL</t>
  </si>
  <si>
    <t>Kitchen Labor Costs</t>
  </si>
  <si>
    <t xml:space="preserve">Front of House </t>
  </si>
  <si>
    <t>Phones/Cashier</t>
  </si>
  <si>
    <t>FRONT OF HOUSE TOTAL</t>
  </si>
  <si>
    <t>Front of House Labor Costs</t>
  </si>
  <si>
    <t>Bookkeeping</t>
  </si>
  <si>
    <t>ADMINISTRATIVE TOTAL</t>
  </si>
  <si>
    <t>TOTAL HRS/WEEK</t>
  </si>
  <si>
    <t>Administrative Labor Cost</t>
  </si>
  <si>
    <t>TOTAL SALARIES AND WAGES</t>
  </si>
  <si>
    <t>TOTAL LABOR COST</t>
  </si>
  <si>
    <t>Fixed Asset: Used Equipment (approx. value)</t>
  </si>
  <si>
    <t>Account Payable (estimated accrued payroll and suppliers)</t>
  </si>
  <si>
    <t xml:space="preserve">               Loans with banks :(original amount)</t>
  </si>
  <si>
    <t>Approx. Long Term Liabilities (total original amount/ loans)</t>
  </si>
  <si>
    <t xml:space="preserve">TOTAL LIABILITIES &amp; EQUITY </t>
  </si>
  <si>
    <t>Loan from Bank</t>
  </si>
  <si>
    <t>Owner's Investment</t>
  </si>
  <si>
    <t>Architecture Firm (___%)</t>
  </si>
  <si>
    <t>a) Restaurant Design</t>
  </si>
  <si>
    <t>b) Interior Design</t>
  </si>
  <si>
    <t>c) Kitchen Design</t>
  </si>
  <si>
    <t>Project Management Fee (__%)</t>
  </si>
  <si>
    <t>$4,000 in old equipment.   New equipment list and estimates-Needed</t>
  </si>
  <si>
    <t>Furniture</t>
  </si>
  <si>
    <t>Wine and Beer License</t>
  </si>
  <si>
    <t>Working Capital</t>
  </si>
  <si>
    <t>YEAR 2015</t>
  </si>
  <si>
    <t xml:space="preserve">2011-2015 P&amp;L PROJECTION </t>
  </si>
  <si>
    <t>5-YEAR PROJECTIONS</t>
  </si>
  <si>
    <t>5% increase for year 2013-2015</t>
  </si>
  <si>
    <t>Note: Assuming 10% projected sales increase for first year and from 2011-2014  projected sales increase of 5%</t>
  </si>
  <si>
    <t>Beverages (3% of food)</t>
  </si>
  <si>
    <t>Beer Sales (35% of food)</t>
  </si>
  <si>
    <t xml:space="preserve">Wine Sales (12% of food) </t>
  </si>
  <si>
    <t>Food Cost (31 of food sales)</t>
  </si>
  <si>
    <t>Beer Cost (22 of beer sales)</t>
  </si>
  <si>
    <t>Wine Cost (31.6%of wine sales)</t>
  </si>
  <si>
    <t>Beverages (29.4% of beverege sales)</t>
  </si>
  <si>
    <t xml:space="preserve">Area of saving. </t>
  </si>
  <si>
    <t>Rent (initial $24@1,300sfs)</t>
  </si>
  <si>
    <t>Security Rent Deposit</t>
  </si>
  <si>
    <t>NEW BUSINESS- PROJECT BUDGET</t>
  </si>
  <si>
    <t>Construction (Build out)*</t>
  </si>
  <si>
    <t>*Build out estimate include all work (plumbing, electrical and kitchen buildout)</t>
  </si>
  <si>
    <t>As of September 2010</t>
  </si>
  <si>
    <t>Cook Assistance</t>
  </si>
  <si>
    <t>Suggestions: to open everyday during the first couple months to evaluate the market preferences.</t>
  </si>
  <si>
    <t>DAYS/WEEK (7)</t>
  </si>
  <si>
    <t>OPEN TO PUBLIC</t>
  </si>
  <si>
    <t>12PM-10PM</t>
  </si>
  <si>
    <t>Pre and Post hours</t>
  </si>
  <si>
    <t>10am-11pm</t>
  </si>
  <si>
    <t>Manager/Owner/Cook</t>
  </si>
  <si>
    <t>Wait Staff/Host</t>
  </si>
  <si>
    <t>Administrative</t>
  </si>
  <si>
    <t>Hrs/Staff</t>
  </si>
  <si>
    <t>TOTAL FTE EQUIVALENT EMPLOYEES</t>
  </si>
  <si>
    <t>Staffing control will be implemented all the time.</t>
  </si>
  <si>
    <t>PTE</t>
  </si>
  <si>
    <t>TOTAL PTE EQUIVALENT EMPLOYEES</t>
  </si>
  <si>
    <t>As of today: Plan to Close on Mondays</t>
  </si>
  <si>
    <t>Hrs/Day</t>
  </si>
  <si>
    <t>HRS</t>
  </si>
  <si>
    <t>Minimum</t>
  </si>
  <si>
    <t xml:space="preserve">TOTAL HOURS OF OPERATION: </t>
  </si>
  <si>
    <t>Without General Manager</t>
  </si>
  <si>
    <t>With General Manager</t>
  </si>
  <si>
    <t>SALARIES AND WAGES STRUCTURE AND BUDGET PLAN</t>
  </si>
  <si>
    <t>Monthly</t>
  </si>
  <si>
    <t>Kitchen Oper.Manager/Line Cook</t>
  </si>
  <si>
    <t>Employees Benefits (2FTE@50%Health insur.contrib)</t>
  </si>
  <si>
    <t xml:space="preserve">Waste Removal </t>
  </si>
  <si>
    <t>Utility Services (Electricity, gas, heat, water)</t>
  </si>
  <si>
    <t>License and Permits</t>
  </si>
  <si>
    <t xml:space="preserve">Payroll Service Charges </t>
  </si>
  <si>
    <t>Credit Cards Sales Charges (1.8% of sales)</t>
  </si>
  <si>
    <t>Professional Legal</t>
  </si>
  <si>
    <t>Telephone and Internet</t>
  </si>
  <si>
    <t>Repairs &amp; Maintenance/Cleaning</t>
  </si>
  <si>
    <t xml:space="preserve">Office Supplies </t>
  </si>
  <si>
    <t>Rent explanation:</t>
  </si>
  <si>
    <t>Rent increase is based on the lease LOIL-Initial Base rent, which indicates $24/SF and increase 4% every year.</t>
  </si>
  <si>
    <t>total square footage is ~1,300 including common areas. [See enclosed Lease and Exhibit C for details]</t>
  </si>
  <si>
    <t xml:space="preserve"> Inventory of Alcohol and Food (as of USES &amp;SOURCES taxes)</t>
  </si>
  <si>
    <t>Inventory of Food &amp; Alcohol</t>
  </si>
  <si>
    <t>$</t>
  </si>
  <si>
    <t xml:space="preserve">Accumulated Depreciation </t>
  </si>
  <si>
    <t xml:space="preserve">Gift Certificates </t>
  </si>
  <si>
    <t xml:space="preserve">Retaining Earnings </t>
  </si>
  <si>
    <t>1) This Opening Balance Sheet is based on the 2011 projections and its USES and SOURCES.</t>
  </si>
  <si>
    <t>COLLATERAL AND GUARANTEES</t>
  </si>
  <si>
    <t>Collateral coverage to Bank</t>
  </si>
  <si>
    <t>Total</t>
  </si>
  <si>
    <t xml:space="preserve">Additional Guarantee </t>
  </si>
  <si>
    <t>Insurance</t>
  </si>
  <si>
    <t>Salaries &amp; Wages: See staffing plan and budget</t>
  </si>
  <si>
    <t>Paper Goods/Supplies (1% of total income)</t>
  </si>
  <si>
    <t>Payroll taxes (13.72% of wages and salaries)</t>
  </si>
  <si>
    <t>Corporate Taxes</t>
  </si>
  <si>
    <t>Business' Contribution toward Leasehold improvement</t>
  </si>
  <si>
    <t>Estimated</t>
  </si>
  <si>
    <t xml:space="preserve">5 yrs </t>
  </si>
  <si>
    <t xml:space="preserve">10 yrs </t>
  </si>
  <si>
    <t xml:space="preserve">29 yrs </t>
  </si>
  <si>
    <t>INVESTED</t>
  </si>
  <si>
    <t>Contingency (10%Build Out)</t>
  </si>
  <si>
    <t>ORIGINAL</t>
  </si>
  <si>
    <t>IN BANK</t>
  </si>
  <si>
    <t>New Kitchen Equipment</t>
  </si>
  <si>
    <t>Used Kitchen Equipment</t>
  </si>
  <si>
    <t xml:space="preserve"> New equipment list and estimates-Needed</t>
  </si>
  <si>
    <t>Used Equipment</t>
  </si>
  <si>
    <t>New assets to be purchase (Equipment and Inventory)*</t>
  </si>
  <si>
    <t>??</t>
  </si>
  <si>
    <t>Market Value</t>
  </si>
  <si>
    <t>Approx. Equity</t>
  </si>
  <si>
    <t xml:space="preserve"> Balance</t>
  </si>
  <si>
    <t>Totals and Available Equity-Approx.</t>
  </si>
  <si>
    <t>Properties Locations</t>
  </si>
  <si>
    <t>[SEE PERSONAL FINANCIAL PROFILE FOR DETAILS]</t>
  </si>
  <si>
    <t>Available a second position on one of the above properties</t>
  </si>
  <si>
    <t xml:space="preserve">Personal Assets &amp; properties-guarantees </t>
  </si>
  <si>
    <t>No including cash invested in the business</t>
  </si>
  <si>
    <t>Loan Amortization</t>
  </si>
  <si>
    <t>Inputs</t>
  </si>
  <si>
    <t>Key Figures</t>
  </si>
  <si>
    <t>Loan Principal Amount</t>
  </si>
  <si>
    <t>Annual Loan Payments</t>
  </si>
  <si>
    <t>Annual Interest Rate</t>
  </si>
  <si>
    <t>Monthly Payments</t>
  </si>
  <si>
    <t>Loan Period in Years</t>
  </si>
  <si>
    <t>Interest in First Calendar Year</t>
  </si>
  <si>
    <t>Base Year of Loan</t>
  </si>
  <si>
    <t>Interest Over Term of Loan</t>
  </si>
  <si>
    <t>Base Month of Loan</t>
  </si>
  <si>
    <t>Sum of All Payments</t>
  </si>
  <si>
    <t>Payments in First 12 Months</t>
  </si>
  <si>
    <t xml:space="preserve">Cumulative </t>
  </si>
  <si>
    <t xml:space="preserve">Ending </t>
  </si>
  <si>
    <t>Year</t>
  </si>
  <si>
    <t>Month</t>
  </si>
  <si>
    <t xml:space="preserve">Balance </t>
  </si>
  <si>
    <t xml:space="preserve">Payments </t>
  </si>
  <si>
    <t xml:space="preserve">Principal </t>
  </si>
  <si>
    <t xml:space="preserve">Interest </t>
  </si>
  <si>
    <t>Yearly Schedule of Balances and Payments</t>
  </si>
  <si>
    <t>$250K NEEDED</t>
  </si>
  <si>
    <t>To be paid at the time of signing the lease</t>
  </si>
  <si>
    <t xml:space="preserve">      Total Loan (Principal) Payments</t>
  </si>
  <si>
    <t>Loan Payments:</t>
  </si>
  <si>
    <t>Miscellaneous</t>
  </si>
  <si>
    <t>Sale taxes (6.25%of sales)</t>
  </si>
  <si>
    <t>Payroll-See Payrol plan and budget for details</t>
  </si>
  <si>
    <t>Sale taxes: Applied 6.25% of MA sales taxes on prepared food and drinks</t>
  </si>
  <si>
    <t>CASH FLOW POSITION:</t>
  </si>
  <si>
    <t>Cash on Hand (Add)</t>
  </si>
  <si>
    <t>Net Income or Loss (Add)</t>
  </si>
  <si>
    <t>Cash Flow/Capital Position</t>
  </si>
  <si>
    <t>Loan Principal Expenses (Subtract)</t>
  </si>
  <si>
    <t>Non-Cash Expenses/Depreciation (Add)</t>
  </si>
  <si>
    <t>2011Average</t>
  </si>
  <si>
    <t>Pre and Post hrs</t>
  </si>
  <si>
    <t>Fee ___% ??</t>
  </si>
  <si>
    <t xml:space="preserve">Equity </t>
  </si>
  <si>
    <t>See Personal Fin. Profile and property value/equity</t>
  </si>
  <si>
    <t>verify the balance on the properties</t>
  </si>
  <si>
    <t>Leasehold Improvement</t>
  </si>
  <si>
    <t>10% of build out costs</t>
  </si>
  <si>
    <t>In Process as of 9/6/2010 updated</t>
  </si>
  <si>
    <t>4% Increase/year</t>
  </si>
  <si>
    <t>Web development, menu, brochure etc. It could be more than $2K</t>
  </si>
  <si>
    <t xml:space="preserve"> Total of 14 FT equivalent jobs or 19PTE.</t>
  </si>
  <si>
    <t xml:space="preserve">Note: The business projects to have 17 to 18 jobs(with 3 FT positions). </t>
  </si>
  <si>
    <t xml:space="preserve">Note: The business projects to have 16 to 17 jobs(with 2 FT positions). </t>
  </si>
  <si>
    <t>Total of 13 FT equivalent jobs or 18PTE.</t>
  </si>
  <si>
    <t>Breakfast might be introdu</t>
  </si>
  <si>
    <t>TBD</t>
  </si>
  <si>
    <t>Property-taxes,OCC, other-TBD</t>
  </si>
  <si>
    <t xml:space="preserve"> </t>
  </si>
  <si>
    <t>$125/square footage @ 1,300 total SFs</t>
  </si>
  <si>
    <t>Estimating $250,000  to $260,000 for financing, which includes additional $10,000 to cover closing costs and other miscellaneous expenses</t>
  </si>
  <si>
    <t>Landlord Contribution toward construction</t>
  </si>
  <si>
    <t>Other Occupancy Costs ($6.25@1,300sfs)</t>
  </si>
  <si>
    <t xml:space="preserve"> five dollars per sfs for first year=other occupancy costs</t>
  </si>
  <si>
    <t>$6.25 included property taxes, property insurance, management, repairs common areas.</t>
  </si>
  <si>
    <t>Notes: Other occupancy costs</t>
  </si>
  <si>
    <t>5% of total cost of project</t>
  </si>
  <si>
    <t>Contingency (5% total project costs)</t>
  </si>
  <si>
    <t>As of January 2011</t>
  </si>
  <si>
    <t>Flat rent for the first 5-years</t>
  </si>
  <si>
    <t>Other Occupancy Costs (water and property taxes)</t>
  </si>
  <si>
    <t>Property-taxes,and water. Fixed cost for five years</t>
  </si>
  <si>
    <t>Breakfast might be introduced</t>
  </si>
  <si>
    <t>Electrical work</t>
  </si>
  <si>
    <t>c) Kitchen Design + build out</t>
  </si>
  <si>
    <t>Plumbing work(heating, air conditioning, bathroom and other)</t>
  </si>
  <si>
    <t>Construction (Build out and kitchen)*</t>
  </si>
  <si>
    <t>Storefront-Signage</t>
  </si>
  <si>
    <t xml:space="preserve">Estimating $110K to $120K for financing. </t>
  </si>
  <si>
    <t>15 years lease.</t>
  </si>
  <si>
    <t>2011-2012Average</t>
  </si>
  <si>
    <t>YEAR 2011-2012</t>
  </si>
  <si>
    <t>YEAR 2012-2013</t>
  </si>
  <si>
    <t>YEAR 2013-2014</t>
  </si>
  <si>
    <t>YEAR 2014-2015</t>
  </si>
  <si>
    <t>YEAR 2015-2016</t>
  </si>
  <si>
    <t xml:space="preserve">2011-2016 P&amp;L PROJECTION </t>
  </si>
  <si>
    <t>Dish/Prep/Clean</t>
  </si>
  <si>
    <t>As of February 2011</t>
  </si>
  <si>
    <t>With Two General Manager</t>
  </si>
  <si>
    <t>With One General Manager</t>
  </si>
  <si>
    <t xml:space="preserve"> Assuming for projection 14 to 15 people (with 2 FT positions). </t>
  </si>
  <si>
    <t xml:space="preserve">As of today: Plan to Close on Mondays if it is slow. </t>
  </si>
  <si>
    <t>Notes:</t>
  </si>
  <si>
    <t>*Build out estimate include some work related to space and basement improvement, some plumbing, electrical and kitchen buildout.</t>
  </si>
  <si>
    <t>Properties Locations and Market Value</t>
  </si>
  <si>
    <t>Including cash invested in the business as of today.</t>
  </si>
  <si>
    <t>Total Loan Payments (Princ.+Interest)</t>
  </si>
  <si>
    <t>Each table will be occupate at least 2 or 3 times per day.</t>
  </si>
  <si>
    <t xml:space="preserve">38 tables used per day (# of table@ 3 times) </t>
  </si>
  <si>
    <t>Rent per square footage: $1,782@12/850SFs=$25 per SF</t>
  </si>
  <si>
    <t xml:space="preserve">RENT: </t>
  </si>
  <si>
    <t xml:space="preserve">Rent will be $1,782 fixed for first 5-yrs; $2,138 from year 6 to 10; and $2,566 from year 10 to 15. </t>
  </si>
  <si>
    <t>SALE ASSUMPTIONS:</t>
  </si>
  <si>
    <t>total square footage is ~850 no including basement area. [See enclosed Lease for details]</t>
  </si>
  <si>
    <t>Mt. Washington Bank</t>
  </si>
  <si>
    <t>Deposit Account:Lease-Security Deposit (Holded by Landlord)</t>
  </si>
  <si>
    <t>Inventory (Food and alcohol beverages)</t>
  </si>
  <si>
    <t>Common Stock (original personal investment)</t>
  </si>
  <si>
    <t>2)This opening Balance Sheet is assuming all original amount of loan(s) financed by bank(s) or financial institution(s).</t>
  </si>
  <si>
    <t>3) Account Payables will be pay every 30 days to 45 days. We are estimating $0 in balance for day one.</t>
  </si>
  <si>
    <t>PREVIOUS LOCATION</t>
  </si>
  <si>
    <t>2011-2012 CASH FLOW PROJECTION MONTH BY MONTH</t>
  </si>
  <si>
    <t>OPERATING GENERAL EXPENSES</t>
  </si>
  <si>
    <t>Aver.Monthly</t>
  </si>
  <si>
    <t>Discounts (1%)</t>
  </si>
  <si>
    <t>Rent (initial $25@850sfs)</t>
  </si>
  <si>
    <t>Total Loan Interest &amp; Principal Payment ($120K@7.75%@7yrs)</t>
  </si>
  <si>
    <t xml:space="preserve">Total General Expenses </t>
  </si>
  <si>
    <t xml:space="preserve">Note: The business projects to have 9FTE equivalent positions or 13 PTE equivalent positions. </t>
  </si>
  <si>
    <t>Average sale per day</t>
  </si>
  <si>
    <t>TOTAL CASH PAID OUT</t>
  </si>
  <si>
    <t>New assets to be purchase (Equipment new)*</t>
  </si>
  <si>
    <t>Additional $35.00 will be added to the quote to cover the liability for merchandise sold to stores up to $75,000.00</t>
  </si>
  <si>
    <t xml:space="preserve"> $20,613 New equipment list enclosed and estimated additional $10K</t>
  </si>
  <si>
    <t>Contingency (9% total project costs)</t>
  </si>
  <si>
    <t xml:space="preserve">$4,000 in old equipment.   </t>
  </si>
  <si>
    <t xml:space="preserve">Need Estimate </t>
  </si>
  <si>
    <t>$170+$100+$200paid</t>
  </si>
  <si>
    <t xml:space="preserve">Web development, menu, brochure and marketing materials </t>
  </si>
  <si>
    <t>Available in bank</t>
  </si>
  <si>
    <t>Leasehold Improvement (kitchen buildout and space improvement)</t>
  </si>
  <si>
    <t>Loan from Bank ($68%)</t>
  </si>
  <si>
    <t>Owner's Investment (29%)</t>
  </si>
  <si>
    <t>Main Street-Restore contribution for store front (3%)</t>
  </si>
  <si>
    <t>Space is ~850SF-Lease enclosed</t>
  </si>
  <si>
    <t>Available a second position on one of the above properties (if apply)</t>
  </si>
  <si>
    <t>1) Collateral Coverage to Bank</t>
  </si>
  <si>
    <t xml:space="preserve">2) Additional Guarantee </t>
  </si>
  <si>
    <t xml:space="preserve">Fixed Asset: (New Equipment and Furnitures) </t>
  </si>
  <si>
    <t>SEE USES AND SOURCES-ADDIT.LEASEHOLD IMPROV.COSTS</t>
  </si>
  <si>
    <t>*Other loan term assets(leasehold improvement related)</t>
  </si>
  <si>
    <t>Fixed Asset: Leasehold Improvement(Business and kitchen build out at location)</t>
  </si>
  <si>
    <t>Other long Term Assets (Additional start up expenses)</t>
  </si>
  <si>
    <t>Beer and Wine License*</t>
  </si>
  <si>
    <t>Beer and Wine License will increase its market value as soon it is in use.</t>
  </si>
  <si>
    <t>Insurance (liability, property,merchandise and workers comp.coverage)</t>
  </si>
  <si>
    <t>Days per month</t>
  </si>
  <si>
    <t>Projected Numbers (April 2011-March 2012)</t>
  </si>
  <si>
    <t>Staffing: [See Salaries and Wages Budget and Plan for detail]</t>
  </si>
  <si>
    <t>Some Explanation:</t>
  </si>
  <si>
    <t>b) Break Even (with this scenario) is $1,700 per day and $620,500 per year.</t>
  </si>
  <si>
    <t xml:space="preserve">c) Rent: $1,780 rent for the next five years. $200 additional occupancy costs include water and property taxes. </t>
  </si>
  <si>
    <t>d) Insurance:Public Service Mutual Insurance Company</t>
  </si>
  <si>
    <t>e) Total Annual Premium (commercial property and liability coverage) is $2,309</t>
  </si>
  <si>
    <t>Payroll-See Payrol plan and budget for details. For second year assuming 15% increase.</t>
  </si>
  <si>
    <t>$1,939/average per day for the first year</t>
  </si>
  <si>
    <t>$13,573/week for the first year</t>
  </si>
  <si>
    <t>Average Expenses per table order: Assuming 4 people/table from $50 to $70</t>
  </si>
  <si>
    <t>Assuming 10% projected sales increase for first year and from 2011-2016  projected sales increase of 5%</t>
  </si>
  <si>
    <t>Some Explanations:</t>
  </si>
  <si>
    <t>Working with XXX Construction: OWNER will have some minor work done after opening. OWNER estimates expending only $40K.</t>
  </si>
  <si>
    <t>XXX Construction (850SF@$54.47=$46,300)</t>
  </si>
  <si>
    <t>Worked with ABC/DE on a previous design.</t>
  </si>
  <si>
    <t>XX Plumbing: $5,075</t>
  </si>
  <si>
    <t>Architecture Firm (ABC/DE Architects-original floor plan)</t>
  </si>
  <si>
    <t>1) PROPERTY #1</t>
  </si>
  <si>
    <t>2) PROPERTY #2</t>
  </si>
  <si>
    <t>3) PROPERTY #3</t>
  </si>
  <si>
    <t>a) Income Projection for food, beer and wine are based on ?? market and other restaurants standards</t>
  </si>
  <si>
    <t>BANK #1: $167,000 loan/4.91%/7years</t>
  </si>
  <si>
    <t>BANK #2$193,000/4.91%/20yr</t>
  </si>
  <si>
    <t xml:space="preserve">City $100,000/7%/10years </t>
  </si>
  <si>
    <t>XXX $167,000 loan/4.91%/7years</t>
  </si>
  <si>
    <t>XXX $193,000/4.91%/20yr</t>
  </si>
  <si>
    <t xml:space="preserve">City $100,000 </t>
  </si>
  <si>
    <t>CDC ($35K@11.5%@5yrs)</t>
  </si>
  <si>
    <t>CITIZENS: $75,000 LOC (4.91%)</t>
  </si>
  <si>
    <t>EXAMPLE FOOD BUSINESS WITH ENTERTAINMENT SERVICES-FROM 2009. MUST VERIFY ACTUAL % FOR 2020 OR WHEN USING THIS PRO FORMAT</t>
  </si>
  <si>
    <t>1) PROPERTY 1</t>
  </si>
  <si>
    <t xml:space="preserve">2)PROPERTY 2 </t>
  </si>
  <si>
    <t>3) PEOPERTY 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</si>
</sst>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0.00\ "/>
    <numFmt numFmtId="166" formatCode="_(&quot;$&quot;* #,##0.0000_);_(&quot;$&quot;* \(#,##0.0000\);_(&quot;$&quot;* &quot;-&quot;????_);_(@_)"/>
    <numFmt numFmtId="167" formatCode="_(* #,##0.000_);_(* \(#,##0.000\);_(* &quot;-&quot;???_);_(@_)"/>
    <numFmt numFmtId="168" formatCode="_(* #,##0.0_);_(* \(#,##0.0\);_(* &quot;-&quot;?_);_(@_)"/>
    <numFmt numFmtId="169" formatCode="&quot;$&quot;#,##0.000_);[Red]\(&quot;$&quot;#,##0.000\)"/>
    <numFmt numFmtId="170" formatCode="&quot;$&quot;#,##0.0_);[Red]\(&quot;$&quot;#,##0.0\)"/>
    <numFmt numFmtId="171" formatCode="0.0%"/>
    <numFmt numFmtId="172" formatCode="_(&quot;$&quot;* #,##0.0_);_(&quot;$&quot;* \(#,##0.0\);_(&quot;$&quot;* &quot;-&quot;??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&quot;$&quot;* #,##0_);_(&quot;$&quot;* \(#,##0\);_(&quot;$&quot;* &quot;-&quot;??_);_(@_)"/>
    <numFmt numFmtId="187" formatCode="0.00?%_)"/>
    <numFmt numFmtId="188" formatCode="0_)"/>
    <numFmt numFmtId="189" formatCode="_(* #,##0.0000_);_(* \(#,##0.0000\);_(* &quot;-&quot;????_);_(@_)"/>
    <numFmt numFmtId="190" formatCode="_(* #,##0.000_);_(* \(#,##0.000\);_(* &quot;-&quot;????_);_(@_)"/>
    <numFmt numFmtId="191" formatCode="_(* #,##0.00_);_(* \(#,##0.00\);_(* &quot;-&quot;????_);_(@_)"/>
    <numFmt numFmtId="192" formatCode="_(* #,##0.0_);_(* \(#,##0.0\);_(* &quot;-&quot;????_);_(@_)"/>
    <numFmt numFmtId="193" formatCode="_(* #,##0_);_(* \(#,##0\);_(* &quot;-&quot;????_);_(@_)"/>
  </numFmts>
  <fonts count="1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color indexed="10"/>
      <name val="Arial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color indexed="18"/>
      <name val="Arial"/>
      <family val="2"/>
    </font>
    <font>
      <i/>
      <sz val="14"/>
      <name val="Arial"/>
      <family val="2"/>
    </font>
    <font>
      <b/>
      <i/>
      <sz val="14"/>
      <color indexed="56"/>
      <name val="Arial"/>
      <family val="2"/>
    </font>
    <font>
      <b/>
      <sz val="12"/>
      <color indexed="5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0"/>
      <color indexed="18"/>
      <name val="Arial"/>
      <family val="0"/>
    </font>
    <font>
      <u val="single"/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14"/>
      <color indexed="18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i/>
      <sz val="12"/>
      <name val="Arial"/>
      <family val="2"/>
    </font>
    <font>
      <sz val="12"/>
      <color indexed="18"/>
      <name val="Arial"/>
      <family val="2"/>
    </font>
    <font>
      <b/>
      <u val="single"/>
      <sz val="10"/>
      <color indexed="18"/>
      <name val="Arial"/>
      <family val="2"/>
    </font>
    <font>
      <sz val="9"/>
      <name val="Arial"/>
      <family val="0"/>
    </font>
    <font>
      <b/>
      <sz val="12"/>
      <color indexed="16"/>
      <name val="Arial"/>
      <family val="2"/>
    </font>
    <font>
      <i/>
      <sz val="10"/>
      <name val="Arial"/>
      <family val="2"/>
    </font>
    <font>
      <sz val="12"/>
      <color indexed="16"/>
      <name val="Arial"/>
      <family val="2"/>
    </font>
    <font>
      <sz val="10"/>
      <color indexed="16"/>
      <name val="Arial"/>
      <family val="2"/>
    </font>
    <font>
      <sz val="12"/>
      <color indexed="10"/>
      <name val="Arial"/>
      <family val="0"/>
    </font>
    <font>
      <sz val="11"/>
      <color indexed="18"/>
      <name val="Arial"/>
      <family val="2"/>
    </font>
    <font>
      <b/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7"/>
      <name val="Arial"/>
      <family val="0"/>
    </font>
    <font>
      <sz val="7.5"/>
      <color indexed="8"/>
      <name val="Arial"/>
      <family val="2"/>
    </font>
    <font>
      <sz val="24"/>
      <color indexed="8"/>
      <name val="Times New Roman"/>
      <family val="1"/>
    </font>
    <font>
      <b/>
      <sz val="10"/>
      <color indexed="21"/>
      <name val="Arial"/>
      <family val="2"/>
    </font>
    <font>
      <sz val="7.5"/>
      <color indexed="12"/>
      <name val="Arial"/>
      <family val="2"/>
    </font>
    <font>
      <sz val="7.5"/>
      <color indexed="30"/>
      <name val="Arial"/>
      <family val="2"/>
    </font>
    <font>
      <sz val="7.5"/>
      <color indexed="21"/>
      <name val="Arial"/>
      <family val="2"/>
    </font>
    <font>
      <b/>
      <i/>
      <u val="single"/>
      <sz val="9"/>
      <name val="Arial"/>
      <family val="0"/>
    </font>
    <font>
      <b/>
      <u val="single"/>
      <sz val="9"/>
      <name val="Arial"/>
      <family val="0"/>
    </font>
    <font>
      <i/>
      <sz val="9"/>
      <color indexed="18"/>
      <name val="Arial"/>
      <family val="0"/>
    </font>
    <font>
      <i/>
      <u val="single"/>
      <sz val="9"/>
      <color indexed="18"/>
      <name val="Arial"/>
      <family val="0"/>
    </font>
    <font>
      <sz val="11"/>
      <color indexed="10"/>
      <name val="Arial"/>
      <family val="2"/>
    </font>
    <font>
      <b/>
      <sz val="9"/>
      <color indexed="18"/>
      <name val="Arial"/>
      <family val="0"/>
    </font>
    <font>
      <sz val="9"/>
      <color indexed="18"/>
      <name val="Arial"/>
      <family val="0"/>
    </font>
    <font>
      <b/>
      <i/>
      <sz val="10"/>
      <name val="Arial"/>
      <family val="2"/>
    </font>
    <font>
      <i/>
      <u val="single"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i/>
      <sz val="10"/>
      <color indexed="17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16"/>
      <color indexed="63"/>
      <name val="Arial"/>
      <family val="2"/>
    </font>
    <font>
      <b/>
      <sz val="11"/>
      <color indexed="63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sz val="8"/>
      <color indexed="18"/>
      <name val="Arial"/>
      <family val="0"/>
    </font>
    <font>
      <b/>
      <sz val="10"/>
      <color indexed="16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11"/>
      <color indexed="12"/>
      <name val="Arial"/>
      <family val="0"/>
    </font>
    <font>
      <b/>
      <sz val="8"/>
      <color indexed="18"/>
      <name val="Arial"/>
      <family val="2"/>
    </font>
    <font>
      <b/>
      <i/>
      <sz val="9"/>
      <color indexed="18"/>
      <name val="Arial"/>
      <family val="2"/>
    </font>
    <font>
      <b/>
      <i/>
      <sz val="9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sz val="10"/>
      <color indexed="62"/>
      <name val="Arial"/>
      <family val="0"/>
    </font>
    <font>
      <b/>
      <sz val="12"/>
      <color indexed="62"/>
      <name val="Arial"/>
      <family val="0"/>
    </font>
    <font>
      <b/>
      <sz val="11"/>
      <color indexed="62"/>
      <name val="Arial"/>
      <family val="0"/>
    </font>
    <font>
      <b/>
      <sz val="9"/>
      <color indexed="62"/>
      <name val="Arial"/>
      <family val="0"/>
    </font>
    <font>
      <b/>
      <sz val="8"/>
      <color indexed="62"/>
      <name val="Arial"/>
      <family val="0"/>
    </font>
    <font>
      <i/>
      <sz val="8"/>
      <name val="Arial"/>
      <family val="0"/>
    </font>
    <font>
      <i/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8" fillId="26" borderId="0" applyNumberFormat="0" applyBorder="0" applyAlignment="0" applyProtection="0"/>
    <xf numFmtId="0" fontId="119" fillId="27" borderId="1" applyNumberFormat="0" applyAlignment="0" applyProtection="0"/>
    <xf numFmtId="0" fontId="1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2" fillId="29" borderId="0" applyNumberFormat="0" applyBorder="0" applyAlignment="0" applyProtection="0"/>
    <xf numFmtId="0" fontId="123" fillId="0" borderId="3" applyNumberFormat="0" applyFill="0" applyAlignment="0" applyProtection="0"/>
    <xf numFmtId="0" fontId="124" fillId="0" borderId="4" applyNumberFormat="0" applyFill="0" applyAlignment="0" applyProtection="0"/>
    <xf numFmtId="0" fontId="125" fillId="0" borderId="5" applyNumberFormat="0" applyFill="0" applyAlignment="0" applyProtection="0"/>
    <xf numFmtId="0" fontId="1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6" fillId="30" borderId="1" applyNumberFormat="0" applyAlignment="0" applyProtection="0"/>
    <xf numFmtId="0" fontId="127" fillId="0" borderId="6" applyNumberFormat="0" applyFill="0" applyAlignment="0" applyProtection="0"/>
    <xf numFmtId="0" fontId="12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29" fillId="27" borderId="8" applyNumberFormat="0" applyAlignment="0" applyProtection="0"/>
    <xf numFmtId="9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9" applyNumberFormat="0" applyFill="0" applyAlignment="0" applyProtection="0"/>
    <xf numFmtId="0" fontId="132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41" fontId="4" fillId="34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1" fontId="4" fillId="33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1" fontId="3" fillId="34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41" fontId="3" fillId="33" borderId="0" xfId="0" applyNumberFormat="1" applyFont="1" applyFill="1" applyAlignment="1">
      <alignment/>
    </xf>
    <xf numFmtId="41" fontId="3" fillId="0" borderId="0" xfId="0" applyNumberFormat="1" applyFont="1" applyAlignment="1">
      <alignment/>
    </xf>
    <xf numFmtId="0" fontId="4" fillId="0" borderId="0" xfId="57" applyFont="1" applyAlignment="1">
      <alignment horizontal="right"/>
      <protection/>
    </xf>
    <xf numFmtId="0" fontId="4" fillId="0" borderId="0" xfId="57" applyFont="1" applyAlignment="1">
      <alignment horizontal="left"/>
      <protection/>
    </xf>
    <xf numFmtId="10" fontId="3" fillId="0" borderId="0" xfId="0" applyNumberFormat="1" applyFont="1" applyAlignment="1">
      <alignment/>
    </xf>
    <xf numFmtId="0" fontId="5" fillId="0" borderId="0" xfId="57" applyFont="1" applyAlignment="1">
      <alignment horizontal="left"/>
      <protection/>
    </xf>
    <xf numFmtId="0" fontId="3" fillId="35" borderId="0" xfId="57" applyFont="1" applyFill="1" applyAlignment="1">
      <alignment horizontal="right"/>
      <protection/>
    </xf>
    <xf numFmtId="41" fontId="6" fillId="35" borderId="0" xfId="0" applyNumberFormat="1" applyFont="1" applyFill="1" applyAlignment="1">
      <alignment/>
    </xf>
    <xf numFmtId="41" fontId="6" fillId="33" borderId="0" xfId="0" applyNumberFormat="1" applyFont="1" applyFill="1" applyAlignment="1">
      <alignment/>
    </xf>
    <xf numFmtId="41" fontId="3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0" fontId="3" fillId="35" borderId="0" xfId="57" applyFont="1" applyFill="1" applyAlignment="1">
      <alignment horizontal="left"/>
      <protection/>
    </xf>
    <xf numFmtId="0" fontId="4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5" borderId="0" xfId="0" applyFill="1" applyAlignment="1">
      <alignment/>
    </xf>
    <xf numFmtId="41" fontId="12" fillId="0" borderId="0" xfId="0" applyNumberFormat="1" applyFont="1" applyFill="1" applyAlignment="1">
      <alignment/>
    </xf>
    <xf numFmtId="0" fontId="12" fillId="0" borderId="0" xfId="57" applyFont="1" applyFill="1" applyAlignment="1">
      <alignment horizontal="left"/>
      <protection/>
    </xf>
    <xf numFmtId="0" fontId="11" fillId="35" borderId="0" xfId="0" applyFont="1" applyFill="1" applyAlignment="1">
      <alignment/>
    </xf>
    <xf numFmtId="41" fontId="12" fillId="35" borderId="0" xfId="0" applyNumberFormat="1" applyFont="1" applyFill="1" applyAlignment="1">
      <alignment/>
    </xf>
    <xf numFmtId="0" fontId="12" fillId="35" borderId="0" xfId="57" applyFont="1" applyFill="1" applyAlignment="1">
      <alignment horizontal="left"/>
      <protection/>
    </xf>
    <xf numFmtId="0" fontId="13" fillId="0" borderId="0" xfId="57" applyFont="1" applyAlignment="1">
      <alignment horizontal="left"/>
      <protection/>
    </xf>
    <xf numFmtId="0" fontId="12" fillId="35" borderId="0" xfId="0" applyFont="1" applyFill="1" applyAlignment="1">
      <alignment/>
    </xf>
    <xf numFmtId="10" fontId="12" fillId="35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0" fontId="12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/>
    </xf>
    <xf numFmtId="0" fontId="12" fillId="0" borderId="10" xfId="57" applyFont="1" applyFill="1" applyBorder="1" applyAlignment="1">
      <alignment horizontal="left"/>
      <protection/>
    </xf>
    <xf numFmtId="41" fontId="12" fillId="0" borderId="10" xfId="0" applyNumberFormat="1" applyFont="1" applyFill="1" applyBorder="1" applyAlignment="1">
      <alignment/>
    </xf>
    <xf numFmtId="10" fontId="11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57" applyFont="1" applyFill="1" applyBorder="1" applyAlignment="1">
      <alignment horizontal="left"/>
      <protection/>
    </xf>
    <xf numFmtId="41" fontId="12" fillId="0" borderId="0" xfId="0" applyNumberFormat="1" applyFont="1" applyFill="1" applyBorder="1" applyAlignment="1">
      <alignment/>
    </xf>
    <xf numFmtId="10" fontId="11" fillId="0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57" applyFont="1" applyFill="1" applyBorder="1" applyAlignment="1">
      <alignment horizontal="left"/>
      <protection/>
    </xf>
    <xf numFmtId="41" fontId="12" fillId="33" borderId="0" xfId="0" applyNumberFormat="1" applyFont="1" applyFill="1" applyBorder="1" applyAlignment="1">
      <alignment/>
    </xf>
    <xf numFmtId="10" fontId="11" fillId="33" borderId="0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0" fontId="14" fillId="35" borderId="0" xfId="0" applyNumberFormat="1" applyFont="1" applyFill="1" applyAlignment="1">
      <alignment/>
    </xf>
    <xf numFmtId="0" fontId="12" fillId="35" borderId="0" xfId="57" applyFont="1" applyFill="1" applyBorder="1" applyAlignment="1">
      <alignment horizontal="left"/>
      <protection/>
    </xf>
    <xf numFmtId="0" fontId="15" fillId="0" borderId="0" xfId="0" applyFont="1" applyAlignment="1">
      <alignment/>
    </xf>
    <xf numFmtId="0" fontId="16" fillId="0" borderId="0" xfId="57" applyFont="1" applyAlignment="1">
      <alignment horizontal="left"/>
      <protection/>
    </xf>
    <xf numFmtId="41" fontId="15" fillId="34" borderId="0" xfId="0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15" fillId="33" borderId="0" xfId="0" applyNumberFormat="1" applyFont="1" applyFill="1" applyAlignment="1">
      <alignment/>
    </xf>
    <xf numFmtId="41" fontId="15" fillId="0" borderId="0" xfId="0" applyNumberFormat="1" applyFont="1" applyAlignment="1">
      <alignment/>
    </xf>
    <xf numFmtId="10" fontId="15" fillId="0" borderId="0" xfId="0" applyNumberFormat="1" applyFont="1" applyAlignment="1">
      <alignment/>
    </xf>
    <xf numFmtId="0" fontId="17" fillId="0" borderId="0" xfId="57" applyFont="1" applyAlignment="1">
      <alignment horizontal="left"/>
      <protection/>
    </xf>
    <xf numFmtId="0" fontId="18" fillId="0" borderId="0" xfId="0" applyFont="1" applyAlignment="1">
      <alignment/>
    </xf>
    <xf numFmtId="0" fontId="15" fillId="0" borderId="0" xfId="57" applyFont="1" applyAlignment="1">
      <alignment horizontal="left"/>
      <protection/>
    </xf>
    <xf numFmtId="0" fontId="10" fillId="0" borderId="0" xfId="57" applyFont="1" applyAlignment="1">
      <alignment horizontal="left"/>
      <protection/>
    </xf>
    <xf numFmtId="41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19" fillId="0" borderId="0" xfId="0" applyFont="1" applyAlignment="1">
      <alignment/>
    </xf>
    <xf numFmtId="6" fontId="4" fillId="33" borderId="0" xfId="0" applyNumberFormat="1" applyFont="1" applyFill="1" applyAlignment="1">
      <alignment/>
    </xf>
    <xf numFmtId="6" fontId="4" fillId="0" borderId="0" xfId="0" applyNumberFormat="1" applyFont="1" applyAlignment="1">
      <alignment/>
    </xf>
    <xf numFmtId="0" fontId="3" fillId="0" borderId="0" xfId="57" applyFont="1" applyAlignment="1">
      <alignment horizontal="left"/>
      <protection/>
    </xf>
    <xf numFmtId="0" fontId="14" fillId="35" borderId="0" xfId="0" applyFont="1" applyFill="1" applyAlignment="1">
      <alignment/>
    </xf>
    <xf numFmtId="0" fontId="14" fillId="35" borderId="0" xfId="57" applyFont="1" applyFill="1" applyAlignment="1">
      <alignment horizontal="left"/>
      <protection/>
    </xf>
    <xf numFmtId="41" fontId="14" fillId="35" borderId="0" xfId="0" applyNumberFormat="1" applyFont="1" applyFill="1" applyAlignment="1">
      <alignment/>
    </xf>
    <xf numFmtId="8" fontId="4" fillId="0" borderId="0" xfId="0" applyNumberFormat="1" applyFont="1" applyAlignment="1">
      <alignment/>
    </xf>
    <xf numFmtId="0" fontId="15" fillId="36" borderId="0" xfId="0" applyFont="1" applyFill="1" applyAlignment="1">
      <alignment/>
    </xf>
    <xf numFmtId="0" fontId="4" fillId="36" borderId="0" xfId="0" applyFont="1" applyFill="1" applyAlignment="1">
      <alignment/>
    </xf>
    <xf numFmtId="6" fontId="0" fillId="0" borderId="0" xfId="0" applyNumberFormat="1" applyAlignment="1">
      <alignment/>
    </xf>
    <xf numFmtId="0" fontId="20" fillId="35" borderId="0" xfId="57" applyFont="1" applyFill="1" applyAlignment="1">
      <alignment horizontal="left"/>
      <protection/>
    </xf>
    <xf numFmtId="0" fontId="21" fillId="0" borderId="0" xfId="0" applyFont="1" applyAlignment="1">
      <alignment/>
    </xf>
    <xf numFmtId="6" fontId="21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41" fontId="3" fillId="36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24" fillId="0" borderId="0" xfId="0" applyFont="1" applyAlignment="1">
      <alignment horizontal="right"/>
    </xf>
    <xf numFmtId="42" fontId="24" fillId="34" borderId="0" xfId="0" applyNumberFormat="1" applyFont="1" applyFill="1" applyAlignment="1">
      <alignment/>
    </xf>
    <xf numFmtId="42" fontId="24" fillId="0" borderId="0" xfId="0" applyNumberFormat="1" applyFont="1" applyFill="1" applyAlignment="1">
      <alignment/>
    </xf>
    <xf numFmtId="42" fontId="24" fillId="33" borderId="0" xfId="0" applyNumberFormat="1" applyFont="1" applyFill="1" applyAlignment="1">
      <alignment/>
    </xf>
    <xf numFmtId="42" fontId="24" fillId="0" borderId="0" xfId="0" applyNumberFormat="1" applyFont="1" applyAlignment="1">
      <alignment/>
    </xf>
    <xf numFmtId="10" fontId="24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34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33" borderId="0" xfId="0" applyFont="1" applyFill="1" applyAlignment="1">
      <alignment/>
    </xf>
    <xf numFmtId="41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10" fontId="24" fillId="34" borderId="0" xfId="0" applyNumberFormat="1" applyFont="1" applyFill="1" applyAlignment="1">
      <alignment/>
    </xf>
    <xf numFmtId="10" fontId="24" fillId="0" borderId="0" xfId="0" applyNumberFormat="1" applyFont="1" applyFill="1" applyAlignment="1">
      <alignment/>
    </xf>
    <xf numFmtId="10" fontId="24" fillId="33" borderId="0" xfId="0" applyNumberFormat="1" applyFont="1" applyFill="1" applyAlignment="1">
      <alignment/>
    </xf>
    <xf numFmtId="41" fontId="25" fillId="35" borderId="0" xfId="0" applyNumberFormat="1" applyFont="1" applyFill="1" applyAlignment="1">
      <alignment/>
    </xf>
    <xf numFmtId="41" fontId="21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6" fontId="3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41" fontId="12" fillId="36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" fillId="0" borderId="0" xfId="57" applyFont="1" applyAlignment="1">
      <alignment horizontal="center"/>
      <protection/>
    </xf>
    <xf numFmtId="0" fontId="13" fillId="35" borderId="0" xfId="0" applyFont="1" applyFill="1" applyAlignment="1">
      <alignment/>
    </xf>
    <xf numFmtId="0" fontId="13" fillId="35" borderId="0" xfId="57" applyFont="1" applyFill="1" applyAlignment="1">
      <alignment horizontal="center"/>
      <protection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6" fontId="2" fillId="36" borderId="11" xfId="0" applyNumberFormat="1" applyFont="1" applyFill="1" applyBorder="1" applyAlignment="1">
      <alignment/>
    </xf>
    <xf numFmtId="6" fontId="2" fillId="35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6" fontId="3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0" fillId="35" borderId="0" xfId="0" applyFont="1" applyFill="1" applyAlignment="1">
      <alignment/>
    </xf>
    <xf numFmtId="6" fontId="0" fillId="0" borderId="0" xfId="0" applyNumberFormat="1" applyAlignment="1">
      <alignment horizontal="center"/>
    </xf>
    <xf numFmtId="0" fontId="3" fillId="0" borderId="0" xfId="57" applyFont="1" applyFill="1" applyAlignment="1">
      <alignment horizontal="center"/>
      <protection/>
    </xf>
    <xf numFmtId="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4" fontId="9" fillId="0" borderId="0" xfId="0" applyNumberFormat="1" applyFont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6" fontId="0" fillId="0" borderId="0" xfId="0" applyNumberFormat="1" applyFont="1" applyAlignment="1">
      <alignment/>
    </xf>
    <xf numFmtId="41" fontId="37" fillId="35" borderId="0" xfId="0" applyNumberFormat="1" applyFont="1" applyFill="1" applyAlignment="1">
      <alignment/>
    </xf>
    <xf numFmtId="0" fontId="3" fillId="0" borderId="0" xfId="57" applyFont="1" applyFill="1" applyAlignment="1">
      <alignment horizontal="left"/>
      <protection/>
    </xf>
    <xf numFmtId="0" fontId="4" fillId="0" borderId="0" xfId="57" applyFont="1" applyFill="1" applyAlignment="1">
      <alignment horizontal="left"/>
      <protection/>
    </xf>
    <xf numFmtId="0" fontId="10" fillId="0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12" fillId="35" borderId="0" xfId="0" applyFont="1" applyFill="1" applyAlignment="1">
      <alignment horizontal="right"/>
    </xf>
    <xf numFmtId="41" fontId="29" fillId="35" borderId="0" xfId="0" applyNumberFormat="1" applyFont="1" applyFill="1" applyAlignment="1">
      <alignment/>
    </xf>
    <xf numFmtId="0" fontId="12" fillId="35" borderId="0" xfId="0" applyFont="1" applyFill="1" applyAlignment="1">
      <alignment horizontal="left"/>
    </xf>
    <xf numFmtId="172" fontId="11" fillId="35" borderId="0" xfId="44" applyNumberFormat="1" applyFont="1" applyFill="1" applyAlignment="1">
      <alignment/>
    </xf>
    <xf numFmtId="172" fontId="12" fillId="35" borderId="0" xfId="44" applyNumberFormat="1" applyFont="1" applyFill="1" applyAlignment="1">
      <alignment horizontal="right"/>
    </xf>
    <xf numFmtId="172" fontId="12" fillId="35" borderId="0" xfId="44" applyNumberFormat="1" applyFont="1" applyFill="1" applyAlignment="1">
      <alignment/>
    </xf>
    <xf numFmtId="172" fontId="37" fillId="35" borderId="0" xfId="44" applyNumberFormat="1" applyFont="1" applyFill="1" applyAlignment="1">
      <alignment/>
    </xf>
    <xf numFmtId="172" fontId="12" fillId="35" borderId="0" xfId="44" applyNumberFormat="1" applyFont="1" applyFill="1" applyAlignment="1">
      <alignment horizontal="left"/>
    </xf>
    <xf numFmtId="179" fontId="11" fillId="35" borderId="0" xfId="0" applyNumberFormat="1" applyFont="1" applyFill="1" applyAlignment="1">
      <alignment/>
    </xf>
    <xf numFmtId="179" fontId="11" fillId="36" borderId="0" xfId="0" applyNumberFormat="1" applyFont="1" applyFill="1" applyAlignment="1">
      <alignment/>
    </xf>
    <xf numFmtId="0" fontId="23" fillId="0" borderId="0" xfId="57" applyFont="1" applyAlignment="1">
      <alignment horizontal="left"/>
      <protection/>
    </xf>
    <xf numFmtId="0" fontId="3" fillId="0" borderId="0" xfId="57" applyFont="1" applyFill="1" applyBorder="1" applyAlignment="1">
      <alignment horizontal="left"/>
      <protection/>
    </xf>
    <xf numFmtId="0" fontId="38" fillId="0" borderId="0" xfId="0" applyFont="1" applyAlignment="1">
      <alignment/>
    </xf>
    <xf numFmtId="0" fontId="35" fillId="35" borderId="0" xfId="0" applyFont="1" applyFill="1" applyAlignment="1">
      <alignment/>
    </xf>
    <xf numFmtId="6" fontId="39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41" fontId="40" fillId="0" borderId="0" xfId="0" applyNumberFormat="1" applyFont="1" applyAlignment="1">
      <alignment/>
    </xf>
    <xf numFmtId="9" fontId="0" fillId="0" borderId="0" xfId="60" applyFont="1" applyFill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181" fontId="0" fillId="0" borderId="0" xfId="42" applyNumberFormat="1" applyFont="1" applyFill="1" applyAlignment="1">
      <alignment/>
    </xf>
    <xf numFmtId="181" fontId="0" fillId="0" borderId="0" xfId="0" applyNumberFormat="1" applyFill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5" fillId="0" borderId="0" xfId="0" applyFont="1" applyFill="1" applyAlignment="1">
      <alignment/>
    </xf>
    <xf numFmtId="0" fontId="12" fillId="35" borderId="13" xfId="57" applyFont="1" applyFill="1" applyBorder="1" applyAlignment="1">
      <alignment horizontal="left"/>
      <protection/>
    </xf>
    <xf numFmtId="181" fontId="2" fillId="35" borderId="13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3" xfId="57" applyFont="1" applyFill="1" applyBorder="1" applyAlignment="1">
      <alignment horizontal="left"/>
      <protection/>
    </xf>
    <xf numFmtId="181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81" fontId="32" fillId="0" borderId="0" xfId="42" applyNumberFormat="1" applyFont="1" applyFill="1" applyAlignment="1">
      <alignment/>
    </xf>
    <xf numFmtId="10" fontId="3" fillId="36" borderId="0" xfId="0" applyNumberFormat="1" applyFont="1" applyFill="1" applyAlignment="1">
      <alignment/>
    </xf>
    <xf numFmtId="10" fontId="12" fillId="36" borderId="0" xfId="0" applyNumberFormat="1" applyFont="1" applyFill="1" applyAlignment="1">
      <alignment/>
    </xf>
    <xf numFmtId="0" fontId="0" fillId="37" borderId="12" xfId="0" applyFill="1" applyBorder="1" applyAlignment="1">
      <alignment/>
    </xf>
    <xf numFmtId="0" fontId="4" fillId="37" borderId="13" xfId="57" applyFont="1" applyFill="1" applyBorder="1" applyAlignment="1">
      <alignment horizontal="left"/>
      <protection/>
    </xf>
    <xf numFmtId="0" fontId="0" fillId="37" borderId="13" xfId="0" applyFill="1" applyBorder="1" applyAlignment="1">
      <alignment/>
    </xf>
    <xf numFmtId="181" fontId="0" fillId="37" borderId="13" xfId="42" applyNumberFormat="1" applyFont="1" applyFill="1" applyBorder="1" applyAlignment="1">
      <alignment/>
    </xf>
    <xf numFmtId="6" fontId="35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0" fontId="39" fillId="35" borderId="0" xfId="57" applyFont="1" applyFill="1" applyAlignment="1">
      <alignment horizontal="left"/>
      <protection/>
    </xf>
    <xf numFmtId="0" fontId="32" fillId="0" borderId="0" xfId="0" applyFont="1" applyAlignment="1">
      <alignment/>
    </xf>
    <xf numFmtId="6" fontId="39" fillId="0" borderId="0" xfId="0" applyNumberFormat="1" applyFont="1" applyFill="1" applyAlignment="1">
      <alignment/>
    </xf>
    <xf numFmtId="41" fontId="23" fillId="0" borderId="0" xfId="0" applyNumberFormat="1" applyFont="1" applyFill="1" applyAlignment="1">
      <alignment/>
    </xf>
    <xf numFmtId="181" fontId="0" fillId="0" borderId="0" xfId="0" applyNumberFormat="1" applyFill="1" applyAlignment="1">
      <alignment horizontal="center"/>
    </xf>
    <xf numFmtId="0" fontId="3" fillId="0" borderId="0" xfId="57" applyFont="1" applyFill="1" applyAlignment="1">
      <alignment horizontal="left"/>
      <protection/>
    </xf>
    <xf numFmtId="0" fontId="35" fillId="35" borderId="12" xfId="0" applyFont="1" applyFill="1" applyBorder="1" applyAlignment="1">
      <alignment/>
    </xf>
    <xf numFmtId="0" fontId="23" fillId="35" borderId="13" xfId="57" applyFont="1" applyFill="1" applyBorder="1" applyAlignment="1">
      <alignment horizontal="left"/>
      <protection/>
    </xf>
    <xf numFmtId="180" fontId="35" fillId="35" borderId="13" xfId="42" applyNumberFormat="1" applyFont="1" applyFill="1" applyBorder="1" applyAlignment="1">
      <alignment/>
    </xf>
    <xf numFmtId="0" fontId="35" fillId="35" borderId="13" xfId="0" applyFont="1" applyFill="1" applyBorder="1" applyAlignment="1">
      <alignment/>
    </xf>
    <xf numFmtId="43" fontId="35" fillId="35" borderId="13" xfId="42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13" fillId="0" borderId="0" xfId="57" applyFont="1" applyAlignment="1">
      <alignment horizontal="center"/>
      <protection/>
    </xf>
    <xf numFmtId="0" fontId="30" fillId="0" borderId="0" xfId="0" applyFont="1" applyAlignment="1">
      <alignment/>
    </xf>
    <xf numFmtId="6" fontId="2" fillId="0" borderId="0" xfId="0" applyNumberFormat="1" applyFont="1" applyAlignment="1">
      <alignment/>
    </xf>
    <xf numFmtId="6" fontId="0" fillId="0" borderId="14" xfId="0" applyNumberFormat="1" applyBorder="1" applyAlignment="1">
      <alignment/>
    </xf>
    <xf numFmtId="6" fontId="0" fillId="0" borderId="10" xfId="0" applyNumberFormat="1" applyFont="1" applyBorder="1" applyAlignment="1">
      <alignment/>
    </xf>
    <xf numFmtId="6" fontId="0" fillId="0" borderId="15" xfId="0" applyNumberFormat="1" applyFont="1" applyBorder="1" applyAlignment="1">
      <alignment/>
    </xf>
    <xf numFmtId="6" fontId="28" fillId="0" borderId="0" xfId="0" applyNumberFormat="1" applyFont="1" applyFill="1" applyAlignment="1">
      <alignment/>
    </xf>
    <xf numFmtId="6" fontId="2" fillId="0" borderId="14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8" fontId="0" fillId="0" borderId="0" xfId="0" applyNumberFormat="1" applyAlignment="1">
      <alignment horizontal="center"/>
    </xf>
    <xf numFmtId="186" fontId="0" fillId="0" borderId="0" xfId="44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42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6" fontId="2" fillId="0" borderId="0" xfId="0" applyNumberFormat="1" applyFont="1" applyAlignment="1">
      <alignment horizontal="right"/>
    </xf>
    <xf numFmtId="0" fontId="31" fillId="35" borderId="0" xfId="0" applyFont="1" applyFill="1" applyAlignment="1">
      <alignment horizontal="right"/>
    </xf>
    <xf numFmtId="41" fontId="2" fillId="35" borderId="11" xfId="0" applyNumberFormat="1" applyFont="1" applyFill="1" applyBorder="1" applyAlignment="1">
      <alignment/>
    </xf>
    <xf numFmtId="10" fontId="28" fillId="0" borderId="0" xfId="0" applyNumberFormat="1" applyFont="1" applyAlignment="1">
      <alignment/>
    </xf>
    <xf numFmtId="0" fontId="45" fillId="0" borderId="0" xfId="0" applyFont="1" applyAlignment="1">
      <alignment/>
    </xf>
    <xf numFmtId="6" fontId="32" fillId="0" borderId="0" xfId="0" applyNumberFormat="1" applyFont="1" applyAlignment="1">
      <alignment/>
    </xf>
    <xf numFmtId="0" fontId="13" fillId="0" borderId="0" xfId="57" applyFont="1" applyFill="1" applyAlignment="1">
      <alignment horizontal="center"/>
      <protection/>
    </xf>
    <xf numFmtId="0" fontId="31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57" applyFont="1" applyAlignment="1">
      <alignment horizontal="left"/>
      <protection/>
    </xf>
    <xf numFmtId="41" fontId="46" fillId="34" borderId="0" xfId="0" applyNumberFormat="1" applyFont="1" applyFill="1" applyAlignment="1">
      <alignment/>
    </xf>
    <xf numFmtId="41" fontId="46" fillId="0" borderId="0" xfId="0" applyNumberFormat="1" applyFont="1" applyFill="1" applyAlignment="1">
      <alignment/>
    </xf>
    <xf numFmtId="41" fontId="46" fillId="33" borderId="0" xfId="0" applyNumberFormat="1" applyFont="1" applyFill="1" applyAlignment="1">
      <alignment/>
    </xf>
    <xf numFmtId="41" fontId="46" fillId="0" borderId="0" xfId="0" applyNumberFormat="1" applyFont="1" applyAlignment="1">
      <alignment/>
    </xf>
    <xf numFmtId="6" fontId="46" fillId="33" borderId="0" xfId="0" applyNumberFormat="1" applyFont="1" applyFill="1" applyAlignment="1">
      <alignment/>
    </xf>
    <xf numFmtId="10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4" fillId="0" borderId="0" xfId="57" applyFont="1" applyAlignment="1">
      <alignment horizontal="left"/>
      <protection/>
    </xf>
    <xf numFmtId="6" fontId="46" fillId="34" borderId="0" xfId="0" applyNumberFormat="1" applyFont="1" applyFill="1" applyAlignment="1">
      <alignment/>
    </xf>
    <xf numFmtId="0" fontId="19" fillId="0" borderId="0" xfId="57" applyFont="1" applyAlignment="1">
      <alignment horizontal="left"/>
      <protection/>
    </xf>
    <xf numFmtId="41" fontId="41" fillId="0" borderId="0" xfId="0" applyNumberFormat="1" applyFont="1" applyAlignment="1">
      <alignment/>
    </xf>
    <xf numFmtId="41" fontId="4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6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0" fontId="35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8" fontId="9" fillId="0" borderId="0" xfId="0" applyNumberFormat="1" applyFont="1" applyAlignment="1">
      <alignment horizontal="center"/>
    </xf>
    <xf numFmtId="42" fontId="9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/>
    </xf>
    <xf numFmtId="6" fontId="0" fillId="0" borderId="18" xfId="0" applyNumberFormat="1" applyBorder="1" applyAlignment="1">
      <alignment horizontal="center"/>
    </xf>
    <xf numFmtId="6" fontId="2" fillId="36" borderId="18" xfId="0" applyNumberFormat="1" applyFont="1" applyFill="1" applyBorder="1" applyAlignment="1">
      <alignment/>
    </xf>
    <xf numFmtId="41" fontId="2" fillId="35" borderId="18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86" fontId="2" fillId="35" borderId="18" xfId="44" applyNumberFormat="1" applyFont="1" applyFill="1" applyBorder="1" applyAlignment="1">
      <alignment horizontal="center"/>
    </xf>
    <xf numFmtId="42" fontId="2" fillId="35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3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79" fontId="35" fillId="0" borderId="0" xfId="0" applyNumberFormat="1" applyFont="1" applyAlignment="1">
      <alignment horizontal="center"/>
    </xf>
    <xf numFmtId="179" fontId="35" fillId="0" borderId="0" xfId="0" applyNumberFormat="1" applyFont="1" applyBorder="1" applyAlignment="1">
      <alignment horizontal="center"/>
    </xf>
    <xf numFmtId="179" fontId="35" fillId="0" borderId="18" xfId="0" applyNumberFormat="1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1" fontId="35" fillId="36" borderId="0" xfId="0" applyNumberFormat="1" applyFont="1" applyFill="1" applyAlignment="1">
      <alignment horizontal="center"/>
    </xf>
    <xf numFmtId="10" fontId="35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6" fontId="2" fillId="0" borderId="18" xfId="0" applyNumberFormat="1" applyFont="1" applyBorder="1" applyAlignment="1">
      <alignment horizontal="center"/>
    </xf>
    <xf numFmtId="6" fontId="2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6" fontId="2" fillId="35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79" fontId="35" fillId="0" borderId="0" xfId="0" applyNumberFormat="1" applyFont="1" applyAlignment="1">
      <alignment/>
    </xf>
    <xf numFmtId="179" fontId="35" fillId="0" borderId="19" xfId="0" applyNumberFormat="1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0" xfId="0" applyFont="1" applyBorder="1" applyAlignment="1">
      <alignment/>
    </xf>
    <xf numFmtId="6" fontId="9" fillId="0" borderId="0" xfId="0" applyNumberFormat="1" applyFont="1" applyAlignment="1">
      <alignment horizontal="center"/>
    </xf>
    <xf numFmtId="41" fontId="9" fillId="0" borderId="0" xfId="0" applyNumberFormat="1" applyFont="1" applyAlignment="1">
      <alignment/>
    </xf>
    <xf numFmtId="179" fontId="34" fillId="0" borderId="0" xfId="0" applyNumberFormat="1" applyFont="1" applyAlignment="1">
      <alignment horizontal="center"/>
    </xf>
    <xf numFmtId="0" fontId="9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16" xfId="0" applyFont="1" applyBorder="1" applyAlignment="1">
      <alignment/>
    </xf>
    <xf numFmtId="0" fontId="49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35" fillId="35" borderId="16" xfId="0" applyFont="1" applyFill="1" applyBorder="1" applyAlignment="1">
      <alignment/>
    </xf>
    <xf numFmtId="0" fontId="50" fillId="0" borderId="0" xfId="0" applyFont="1" applyFill="1" applyAlignment="1">
      <alignment/>
    </xf>
    <xf numFmtId="179" fontId="35" fillId="0" borderId="0" xfId="0" applyNumberFormat="1" applyFont="1" applyBorder="1" applyAlignment="1">
      <alignment/>
    </xf>
    <xf numFmtId="0" fontId="45" fillId="0" borderId="0" xfId="57" applyFont="1" applyFill="1" applyAlignment="1">
      <alignment horizontal="left"/>
      <protection/>
    </xf>
    <xf numFmtId="0" fontId="51" fillId="0" borderId="0" xfId="0" applyFont="1" applyAlignment="1">
      <alignment/>
    </xf>
    <xf numFmtId="3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Border="1" applyAlignment="1">
      <alignment horizontal="left" indent="2"/>
    </xf>
    <xf numFmtId="6" fontId="34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9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6" fontId="0" fillId="0" borderId="20" xfId="0" applyNumberFormat="1" applyBorder="1" applyAlignment="1">
      <alignment horizontal="center"/>
    </xf>
    <xf numFmtId="6" fontId="9" fillId="0" borderId="20" xfId="0" applyNumberFormat="1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9" fontId="32" fillId="0" borderId="20" xfId="60" applyFont="1" applyFill="1" applyBorder="1" applyAlignment="1">
      <alignment horizontal="center"/>
    </xf>
    <xf numFmtId="9" fontId="35" fillId="35" borderId="20" xfId="60" applyFont="1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0" xfId="0" applyFont="1" applyAlignment="1">
      <alignment/>
    </xf>
    <xf numFmtId="0" fontId="52" fillId="0" borderId="0" xfId="0" applyFont="1" applyAlignment="1">
      <alignment/>
    </xf>
    <xf numFmtId="6" fontId="0" fillId="0" borderId="20" xfId="0" applyNumberFormat="1" applyFont="1" applyBorder="1" applyAlignment="1">
      <alignment horizontal="center"/>
    </xf>
    <xf numFmtId="6" fontId="2" fillId="35" borderId="20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/>
    </xf>
    <xf numFmtId="6" fontId="0" fillId="0" borderId="16" xfId="0" applyNumberFormat="1" applyBorder="1" applyAlignment="1">
      <alignment/>
    </xf>
    <xf numFmtId="186" fontId="0" fillId="0" borderId="0" xfId="44" applyNumberFormat="1" applyFont="1" applyAlignment="1">
      <alignment/>
    </xf>
    <xf numFmtId="186" fontId="0" fillId="0" borderId="16" xfId="44" applyNumberFormat="1" applyFont="1" applyBorder="1" applyAlignment="1">
      <alignment/>
    </xf>
    <xf numFmtId="0" fontId="1" fillId="0" borderId="0" xfId="0" applyFont="1" applyAlignment="1">
      <alignment/>
    </xf>
    <xf numFmtId="186" fontId="9" fillId="0" borderId="16" xfId="44" applyNumberFormat="1" applyFont="1" applyBorder="1" applyAlignment="1">
      <alignment/>
    </xf>
    <xf numFmtId="186" fontId="35" fillId="35" borderId="0" xfId="44" applyNumberFormat="1" applyFont="1" applyFill="1" applyAlignment="1">
      <alignment/>
    </xf>
    <xf numFmtId="0" fontId="53" fillId="38" borderId="0" xfId="0" applyFont="1" applyFill="1" applyAlignment="1">
      <alignment horizontal="left" wrapText="1"/>
    </xf>
    <xf numFmtId="0" fontId="53" fillId="38" borderId="0" xfId="0" applyFont="1" applyFill="1" applyAlignment="1">
      <alignment horizontal="right" wrapText="1"/>
    </xf>
    <xf numFmtId="0" fontId="53" fillId="38" borderId="0" xfId="0" applyFont="1" applyFill="1" applyAlignment="1">
      <alignment horizontal="center" wrapText="1"/>
    </xf>
    <xf numFmtId="8" fontId="56" fillId="39" borderId="0" xfId="0" applyNumberFormat="1" applyFont="1" applyFill="1" applyAlignment="1">
      <alignment horizontal="right" wrapText="1"/>
    </xf>
    <xf numFmtId="10" fontId="56" fillId="39" borderId="0" xfId="0" applyNumberFormat="1" applyFont="1" applyFill="1" applyAlignment="1">
      <alignment horizontal="right" wrapText="1"/>
    </xf>
    <xf numFmtId="8" fontId="53" fillId="38" borderId="0" xfId="0" applyNumberFormat="1" applyFont="1" applyFill="1" applyAlignment="1">
      <alignment horizontal="right" wrapText="1"/>
    </xf>
    <xf numFmtId="0" fontId="56" fillId="39" borderId="0" xfId="0" applyFont="1" applyFill="1" applyAlignment="1">
      <alignment horizontal="right" wrapText="1"/>
    </xf>
    <xf numFmtId="0" fontId="57" fillId="38" borderId="0" xfId="0" applyFont="1" applyFill="1" applyAlignment="1">
      <alignment horizontal="right" wrapText="1"/>
    </xf>
    <xf numFmtId="0" fontId="58" fillId="38" borderId="0" xfId="0" applyFont="1" applyFill="1" applyAlignment="1">
      <alignment horizontal="right" wrapText="1"/>
    </xf>
    <xf numFmtId="0" fontId="53" fillId="35" borderId="0" xfId="0" applyFont="1" applyFill="1" applyAlignment="1">
      <alignment horizontal="right" wrapText="1"/>
    </xf>
    <xf numFmtId="0" fontId="58" fillId="35" borderId="0" xfId="0" applyFont="1" applyFill="1" applyAlignment="1">
      <alignment horizontal="right" wrapText="1"/>
    </xf>
    <xf numFmtId="0" fontId="53" fillId="35" borderId="0" xfId="0" applyFont="1" applyFill="1" applyAlignment="1">
      <alignment horizontal="left" wrapText="1"/>
    </xf>
    <xf numFmtId="8" fontId="53" fillId="35" borderId="0" xfId="0" applyNumberFormat="1" applyFont="1" applyFill="1" applyAlignment="1">
      <alignment horizontal="right" wrapText="1"/>
    </xf>
    <xf numFmtId="0" fontId="45" fillId="0" borderId="0" xfId="0" applyFont="1" applyFill="1" applyAlignment="1">
      <alignment/>
    </xf>
    <xf numFmtId="0" fontId="59" fillId="0" borderId="0" xfId="57" applyFont="1" applyAlignment="1">
      <alignment horizontal="left"/>
      <protection/>
    </xf>
    <xf numFmtId="0" fontId="60" fillId="0" borderId="0" xfId="57" applyFont="1" applyAlignment="1">
      <alignment horizontal="left"/>
      <protection/>
    </xf>
    <xf numFmtId="0" fontId="43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57" applyFont="1" applyFill="1" applyAlignment="1">
      <alignment horizontal="left"/>
      <protection/>
    </xf>
    <xf numFmtId="6" fontId="61" fillId="0" borderId="0" xfId="44" applyNumberFormat="1" applyFont="1" applyAlignment="1">
      <alignment/>
    </xf>
    <xf numFmtId="6" fontId="61" fillId="0" borderId="0" xfId="0" applyNumberFormat="1" applyFont="1" applyAlignment="1">
      <alignment/>
    </xf>
    <xf numFmtId="6" fontId="61" fillId="0" borderId="0" xfId="42" applyNumberFormat="1" applyFont="1" applyAlignment="1">
      <alignment/>
    </xf>
    <xf numFmtId="6" fontId="61" fillId="0" borderId="0" xfId="42" applyNumberFormat="1" applyFont="1" applyFill="1" applyAlignment="1">
      <alignment/>
    </xf>
    <xf numFmtId="0" fontId="61" fillId="0" borderId="0" xfId="0" applyFont="1" applyBorder="1" applyAlignment="1">
      <alignment/>
    </xf>
    <xf numFmtId="0" fontId="61" fillId="0" borderId="0" xfId="57" applyFont="1" applyFill="1" applyBorder="1" applyAlignment="1">
      <alignment horizontal="left"/>
      <protection/>
    </xf>
    <xf numFmtId="0" fontId="61" fillId="0" borderId="0" xfId="0" applyFont="1" applyFill="1" applyBorder="1" applyAlignment="1">
      <alignment/>
    </xf>
    <xf numFmtId="6" fontId="61" fillId="0" borderId="0" xfId="0" applyNumberFormat="1" applyFont="1" applyBorder="1" applyAlignment="1">
      <alignment/>
    </xf>
    <xf numFmtId="6" fontId="62" fillId="0" borderId="0" xfId="0" applyNumberFormat="1" applyFont="1" applyBorder="1" applyAlignment="1">
      <alignment/>
    </xf>
    <xf numFmtId="41" fontId="40" fillId="33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0" fontId="2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181" fontId="48" fillId="33" borderId="0" xfId="57" applyNumberFormat="1" applyFont="1" applyFill="1" applyAlignment="1">
      <alignment horizontal="left"/>
      <protection/>
    </xf>
    <xf numFmtId="0" fontId="3" fillId="33" borderId="0" xfId="0" applyFont="1" applyFill="1" applyAlignment="1">
      <alignment horizontal="left"/>
    </xf>
    <xf numFmtId="0" fontId="3" fillId="33" borderId="0" xfId="57" applyFont="1" applyFill="1" applyBorder="1" applyAlignment="1">
      <alignment horizontal="left"/>
      <protection/>
    </xf>
    <xf numFmtId="0" fontId="48" fillId="33" borderId="0" xfId="57" applyFont="1" applyFill="1" applyAlignment="1">
      <alignment horizontal="left"/>
      <protection/>
    </xf>
    <xf numFmtId="181" fontId="41" fillId="33" borderId="0" xfId="57" applyNumberFormat="1" applyFont="1" applyFill="1" applyAlignment="1">
      <alignment horizontal="left"/>
      <protection/>
    </xf>
    <xf numFmtId="0" fontId="12" fillId="33" borderId="13" xfId="57" applyFont="1" applyFill="1" applyBorder="1" applyAlignment="1">
      <alignment horizontal="left"/>
      <protection/>
    </xf>
    <xf numFmtId="0" fontId="4" fillId="33" borderId="0" xfId="57" applyFont="1" applyFill="1" applyAlignment="1">
      <alignment horizontal="left"/>
      <protection/>
    </xf>
    <xf numFmtId="0" fontId="4" fillId="33" borderId="13" xfId="57" applyFont="1" applyFill="1" applyBorder="1" applyAlignment="1">
      <alignment horizontal="left"/>
      <protection/>
    </xf>
    <xf numFmtId="9" fontId="0" fillId="33" borderId="0" xfId="60" applyFont="1" applyFill="1" applyBorder="1" applyAlignment="1">
      <alignment horizontal="center"/>
    </xf>
    <xf numFmtId="9" fontId="0" fillId="33" borderId="0" xfId="60" applyNumberFormat="1" applyFont="1" applyFill="1" applyBorder="1" applyAlignment="1">
      <alignment horizontal="center"/>
    </xf>
    <xf numFmtId="0" fontId="21" fillId="35" borderId="12" xfId="0" applyFont="1" applyFill="1" applyBorder="1" applyAlignment="1">
      <alignment/>
    </xf>
    <xf numFmtId="0" fontId="21" fillId="35" borderId="13" xfId="57" applyFont="1" applyFill="1" applyBorder="1" applyAlignment="1">
      <alignment horizontal="left"/>
      <protection/>
    </xf>
    <xf numFmtId="181" fontId="63" fillId="33" borderId="0" xfId="57" applyNumberFormat="1" applyFont="1" applyFill="1" applyAlignment="1">
      <alignment horizontal="left"/>
      <protection/>
    </xf>
    <xf numFmtId="181" fontId="21" fillId="35" borderId="13" xfId="0" applyNumberFormat="1" applyFont="1" applyFill="1" applyBorder="1" applyAlignment="1">
      <alignment/>
    </xf>
    <xf numFmtId="9" fontId="38" fillId="33" borderId="0" xfId="60" applyFont="1" applyFill="1" applyAlignment="1">
      <alignment/>
    </xf>
    <xf numFmtId="0" fontId="21" fillId="35" borderId="13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8" fillId="35" borderId="18" xfId="57" applyFont="1" applyFill="1" applyBorder="1" applyAlignment="1">
      <alignment horizontal="left"/>
      <protection/>
    </xf>
    <xf numFmtId="0" fontId="38" fillId="33" borderId="18" xfId="57" applyFont="1" applyFill="1" applyBorder="1" applyAlignment="1">
      <alignment horizontal="left"/>
      <protection/>
    </xf>
    <xf numFmtId="41" fontId="38" fillId="35" borderId="18" xfId="0" applyNumberFormat="1" applyFont="1" applyFill="1" applyBorder="1" applyAlignment="1">
      <alignment/>
    </xf>
    <xf numFmtId="9" fontId="38" fillId="33" borderId="18" xfId="60" applyFont="1" applyFill="1" applyBorder="1" applyAlignment="1">
      <alignment/>
    </xf>
    <xf numFmtId="181" fontId="38" fillId="35" borderId="18" xfId="0" applyNumberFormat="1" applyFont="1" applyFill="1" applyBorder="1" applyAlignment="1">
      <alignment horizontal="center"/>
    </xf>
    <xf numFmtId="9" fontId="38" fillId="33" borderId="18" xfId="60" applyFont="1" applyFill="1" applyBorder="1" applyAlignment="1">
      <alignment horizontal="center"/>
    </xf>
    <xf numFmtId="181" fontId="38" fillId="35" borderId="18" xfId="0" applyNumberFormat="1" applyFont="1" applyFill="1" applyBorder="1" applyAlignment="1">
      <alignment/>
    </xf>
    <xf numFmtId="9" fontId="38" fillId="0" borderId="0" xfId="60" applyFont="1" applyFill="1" applyBorder="1" applyAlignment="1">
      <alignment/>
    </xf>
    <xf numFmtId="0" fontId="38" fillId="35" borderId="18" xfId="0" applyFont="1" applyFill="1" applyBorder="1" applyAlignment="1">
      <alignment/>
    </xf>
    <xf numFmtId="9" fontId="0" fillId="0" borderId="0" xfId="60" applyFont="1" applyFill="1" applyAlignment="1">
      <alignment/>
    </xf>
    <xf numFmtId="0" fontId="0" fillId="0" borderId="0" xfId="0" applyFont="1" applyFill="1" applyAlignment="1">
      <alignment/>
    </xf>
    <xf numFmtId="9" fontId="43" fillId="0" borderId="0" xfId="60" applyFont="1" applyFill="1" applyAlignment="1">
      <alignment/>
    </xf>
    <xf numFmtId="0" fontId="64" fillId="35" borderId="13" xfId="0" applyFont="1" applyFill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41" fontId="61" fillId="0" borderId="0" xfId="0" applyNumberFormat="1" applyFont="1" applyAlignment="1">
      <alignment/>
    </xf>
    <xf numFmtId="9" fontId="65" fillId="0" borderId="0" xfId="60" applyFont="1" applyFill="1" applyAlignment="1">
      <alignment/>
    </xf>
    <xf numFmtId="9" fontId="65" fillId="35" borderId="18" xfId="60" applyFont="1" applyFill="1" applyBorder="1" applyAlignment="1">
      <alignment/>
    </xf>
    <xf numFmtId="0" fontId="64" fillId="0" borderId="0" xfId="0" applyFont="1" applyFill="1" applyBorder="1" applyAlignment="1">
      <alignment/>
    </xf>
    <xf numFmtId="6" fontId="65" fillId="0" borderId="0" xfId="0" applyNumberFormat="1" applyFont="1" applyAlignment="1">
      <alignment/>
    </xf>
    <xf numFmtId="0" fontId="64" fillId="0" borderId="0" xfId="57" applyFont="1" applyFill="1" applyAlignment="1">
      <alignment horizontal="center"/>
      <protection/>
    </xf>
    <xf numFmtId="0" fontId="64" fillId="0" borderId="0" xfId="0" applyFont="1" applyAlignment="1">
      <alignment horizontal="center"/>
    </xf>
    <xf numFmtId="9" fontId="65" fillId="0" borderId="0" xfId="60" applyFont="1" applyFill="1" applyBorder="1" applyAlignment="1">
      <alignment horizontal="center"/>
    </xf>
    <xf numFmtId="9" fontId="65" fillId="35" borderId="18" xfId="60" applyFont="1" applyFill="1" applyBorder="1" applyAlignment="1">
      <alignment horizontal="center"/>
    </xf>
    <xf numFmtId="9" fontId="65" fillId="0" borderId="0" xfId="60" applyNumberFormat="1" applyFont="1" applyFill="1" applyBorder="1" applyAlignment="1">
      <alignment horizontal="center"/>
    </xf>
    <xf numFmtId="43" fontId="64" fillId="35" borderId="13" xfId="42" applyFont="1" applyFill="1" applyBorder="1" applyAlignment="1">
      <alignment/>
    </xf>
    <xf numFmtId="6" fontId="64" fillId="0" borderId="0" xfId="0" applyNumberFormat="1" applyFont="1" applyAlignment="1">
      <alignment/>
    </xf>
    <xf numFmtId="181" fontId="4" fillId="0" borderId="0" xfId="57" applyNumberFormat="1" applyFont="1" applyFill="1" applyAlignment="1">
      <alignment horizontal="left"/>
      <protection/>
    </xf>
    <xf numFmtId="181" fontId="0" fillId="0" borderId="0" xfId="42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9" fontId="43" fillId="0" borderId="0" xfId="60" applyFont="1" applyFill="1" applyBorder="1" applyAlignment="1">
      <alignment horizontal="center"/>
    </xf>
    <xf numFmtId="9" fontId="0" fillId="0" borderId="0" xfId="6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57" applyFont="1" applyFill="1" applyBorder="1" applyAlignment="1">
      <alignment horizontal="left"/>
      <protection/>
    </xf>
    <xf numFmtId="181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6" fillId="0" borderId="0" xfId="57" applyFont="1" applyFill="1" applyAlignment="1">
      <alignment horizontal="left"/>
      <protection/>
    </xf>
    <xf numFmtId="0" fontId="32" fillId="0" borderId="0" xfId="57" applyFont="1" applyAlignment="1">
      <alignment horizontal="left"/>
      <protection/>
    </xf>
    <xf numFmtId="9" fontId="45" fillId="0" borderId="0" xfId="60" applyFont="1" applyAlignment="1">
      <alignment/>
    </xf>
    <xf numFmtId="9" fontId="67" fillId="0" borderId="0" xfId="60" applyFont="1" applyAlignment="1">
      <alignment/>
    </xf>
    <xf numFmtId="9" fontId="66" fillId="0" borderId="0" xfId="60" applyFont="1" applyAlignment="1">
      <alignment/>
    </xf>
    <xf numFmtId="0" fontId="45" fillId="33" borderId="0" xfId="0" applyFont="1" applyFill="1" applyAlignment="1">
      <alignment/>
    </xf>
    <xf numFmtId="0" fontId="13" fillId="0" borderId="0" xfId="57" applyFont="1" applyFill="1" applyBorder="1" applyAlignment="1">
      <alignment horizontal="left"/>
      <protection/>
    </xf>
    <xf numFmtId="0" fontId="68" fillId="0" borderId="18" xfId="0" applyFont="1" applyFill="1" applyBorder="1" applyAlignment="1">
      <alignment/>
    </xf>
    <xf numFmtId="0" fontId="19" fillId="0" borderId="18" xfId="57" applyFont="1" applyFill="1" applyBorder="1" applyAlignment="1">
      <alignment horizontal="left"/>
      <protection/>
    </xf>
    <xf numFmtId="181" fontId="68" fillId="0" borderId="18" xfId="42" applyNumberFormat="1" applyFont="1" applyFill="1" applyBorder="1" applyAlignment="1">
      <alignment/>
    </xf>
    <xf numFmtId="9" fontId="69" fillId="0" borderId="18" xfId="60" applyFont="1" applyFill="1" applyBorder="1" applyAlignment="1">
      <alignment/>
    </xf>
    <xf numFmtId="9" fontId="68" fillId="0" borderId="18" xfId="60" applyFont="1" applyFill="1" applyBorder="1" applyAlignment="1">
      <alignment/>
    </xf>
    <xf numFmtId="181" fontId="38" fillId="35" borderId="18" xfId="57" applyNumberFormat="1" applyFont="1" applyFill="1" applyBorder="1" applyAlignment="1">
      <alignment horizontal="left"/>
      <protection/>
    </xf>
    <xf numFmtId="0" fontId="38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181" fontId="21" fillId="0" borderId="13" xfId="0" applyNumberFormat="1" applyFont="1" applyFill="1" applyBorder="1" applyAlignment="1">
      <alignment/>
    </xf>
    <xf numFmtId="0" fontId="21" fillId="0" borderId="0" xfId="57" applyFont="1" applyFill="1" applyBorder="1" applyAlignment="1">
      <alignment horizontal="left"/>
      <protection/>
    </xf>
    <xf numFmtId="181" fontId="21" fillId="35" borderId="13" xfId="0" applyNumberFormat="1" applyFont="1" applyFill="1" applyBorder="1" applyAlignment="1">
      <alignment/>
    </xf>
    <xf numFmtId="0" fontId="63" fillId="0" borderId="0" xfId="57" applyFont="1" applyFill="1" applyAlignment="1">
      <alignment horizontal="left"/>
      <protection/>
    </xf>
    <xf numFmtId="181" fontId="38" fillId="0" borderId="0" xfId="57" applyNumberFormat="1" applyFont="1" applyFill="1" applyAlignment="1">
      <alignment horizontal="left"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35" borderId="0" xfId="0" applyFont="1" applyFill="1" applyAlignment="1">
      <alignment/>
    </xf>
    <xf numFmtId="0" fontId="74" fillId="35" borderId="0" xfId="0" applyFont="1" applyFill="1" applyAlignment="1">
      <alignment/>
    </xf>
    <xf numFmtId="0" fontId="75" fillId="35" borderId="0" xfId="0" applyFont="1" applyFill="1" applyAlignment="1">
      <alignment/>
    </xf>
    <xf numFmtId="0" fontId="72" fillId="35" borderId="0" xfId="0" applyFont="1" applyFill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left"/>
    </xf>
    <xf numFmtId="181" fontId="49" fillId="0" borderId="0" xfId="57" applyNumberFormat="1" applyFont="1" applyFill="1" applyAlignment="1">
      <alignment horizontal="left"/>
      <protection/>
    </xf>
    <xf numFmtId="0" fontId="7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4" fillId="0" borderId="0" xfId="57" applyFont="1" applyAlignment="1">
      <alignment horizontal="left"/>
      <protection/>
    </xf>
    <xf numFmtId="181" fontId="38" fillId="0" borderId="0" xfId="57" applyNumberFormat="1" applyFont="1" applyAlignment="1">
      <alignment horizontal="left"/>
      <protection/>
    </xf>
    <xf numFmtId="181" fontId="4" fillId="33" borderId="0" xfId="57" applyNumberFormat="1" applyFont="1" applyFill="1" applyAlignment="1">
      <alignment horizontal="left"/>
      <protection/>
    </xf>
    <xf numFmtId="9" fontId="0" fillId="33" borderId="0" xfId="60" applyFont="1" applyFill="1" applyAlignment="1">
      <alignment/>
    </xf>
    <xf numFmtId="9" fontId="0" fillId="33" borderId="0" xfId="6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57" applyFont="1" applyFill="1" applyAlignment="1">
      <alignment horizontal="left"/>
      <protection/>
    </xf>
    <xf numFmtId="0" fontId="32" fillId="0" borderId="0" xfId="0" applyFont="1" applyFill="1" applyAlignment="1">
      <alignment/>
    </xf>
    <xf numFmtId="181" fontId="32" fillId="0" borderId="0" xfId="0" applyNumberFormat="1" applyFont="1" applyFill="1" applyAlignment="1">
      <alignment/>
    </xf>
    <xf numFmtId="0" fontId="41" fillId="0" borderId="0" xfId="57" applyFont="1" applyAlignment="1">
      <alignment horizontal="left"/>
      <protection/>
    </xf>
    <xf numFmtId="181" fontId="49" fillId="0" borderId="0" xfId="57" applyNumberFormat="1" applyFont="1" applyAlignment="1">
      <alignment horizontal="left"/>
      <protection/>
    </xf>
    <xf numFmtId="9" fontId="32" fillId="33" borderId="0" xfId="60" applyFont="1" applyFill="1" applyAlignment="1">
      <alignment/>
    </xf>
    <xf numFmtId="9" fontId="32" fillId="33" borderId="0" xfId="60" applyFont="1" applyFill="1" applyBorder="1" applyAlignment="1">
      <alignment horizontal="center"/>
    </xf>
    <xf numFmtId="0" fontId="8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81" fontId="21" fillId="0" borderId="0" xfId="57" applyNumberFormat="1" applyFont="1" applyFill="1" applyAlignment="1">
      <alignment horizontal="left"/>
      <protection/>
    </xf>
    <xf numFmtId="181" fontId="3" fillId="0" borderId="0" xfId="57" applyNumberFormat="1" applyFont="1" applyFill="1" applyAlignment="1">
      <alignment horizontal="left"/>
      <protection/>
    </xf>
    <xf numFmtId="181" fontId="2" fillId="0" borderId="0" xfId="42" applyNumberFormat="1" applyFont="1" applyFill="1" applyAlignment="1">
      <alignment/>
    </xf>
    <xf numFmtId="9" fontId="70" fillId="0" borderId="0" xfId="60" applyFont="1" applyFill="1" applyAlignment="1">
      <alignment/>
    </xf>
    <xf numFmtId="9" fontId="2" fillId="0" borderId="0" xfId="60" applyFont="1" applyFill="1" applyAlignment="1">
      <alignment/>
    </xf>
    <xf numFmtId="9" fontId="70" fillId="0" borderId="0" xfId="60" applyFont="1" applyFill="1" applyBorder="1" applyAlignment="1">
      <alignment horizontal="center"/>
    </xf>
    <xf numFmtId="9" fontId="2" fillId="0" borderId="0" xfId="6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1" fontId="32" fillId="0" borderId="0" xfId="42" applyNumberFormat="1" applyFont="1" applyAlignment="1">
      <alignment/>
    </xf>
    <xf numFmtId="6" fontId="35" fillId="0" borderId="0" xfId="0" applyNumberFormat="1" applyFont="1" applyFill="1" applyBorder="1" applyAlignment="1">
      <alignment/>
    </xf>
    <xf numFmtId="181" fontId="81" fillId="0" borderId="0" xfId="42" applyNumberFormat="1" applyFont="1" applyFill="1" applyBorder="1" applyAlignment="1">
      <alignment/>
    </xf>
    <xf numFmtId="6" fontId="2" fillId="37" borderId="20" xfId="0" applyNumberFormat="1" applyFont="1" applyFill="1" applyBorder="1" applyAlignment="1">
      <alignment horizontal="center"/>
    </xf>
    <xf numFmtId="6" fontId="2" fillId="0" borderId="20" xfId="0" applyNumberFormat="1" applyFont="1" applyBorder="1" applyAlignment="1">
      <alignment horizontal="center"/>
    </xf>
    <xf numFmtId="6" fontId="34" fillId="0" borderId="20" xfId="0" applyNumberFormat="1" applyFont="1" applyBorder="1" applyAlignment="1">
      <alignment horizontal="center"/>
    </xf>
    <xf numFmtId="6" fontId="0" fillId="0" borderId="20" xfId="44" applyNumberFormat="1" applyFont="1" applyBorder="1" applyAlignment="1">
      <alignment horizontal="center"/>
    </xf>
    <xf numFmtId="6" fontId="9" fillId="0" borderId="20" xfId="44" applyNumberFormat="1" applyFont="1" applyBorder="1" applyAlignment="1">
      <alignment horizontal="center"/>
    </xf>
    <xf numFmtId="6" fontId="0" fillId="36" borderId="20" xfId="44" applyNumberFormat="1" applyFont="1" applyFill="1" applyBorder="1" applyAlignment="1">
      <alignment horizontal="center"/>
    </xf>
    <xf numFmtId="6" fontId="0" fillId="36" borderId="20" xfId="0" applyNumberFormat="1" applyFill="1" applyBorder="1" applyAlignment="1">
      <alignment horizontal="center"/>
    </xf>
    <xf numFmtId="6" fontId="2" fillId="36" borderId="20" xfId="0" applyNumberFormat="1" applyFont="1" applyFill="1" applyBorder="1" applyAlignment="1">
      <alignment horizontal="center"/>
    </xf>
    <xf numFmtId="0" fontId="48" fillId="0" borderId="0" xfId="57" applyFont="1" applyFill="1" applyAlignment="1">
      <alignment horizontal="left"/>
      <protection/>
    </xf>
    <xf numFmtId="181" fontId="63" fillId="0" borderId="0" xfId="57" applyNumberFormat="1" applyFont="1" applyFill="1" applyAlignment="1">
      <alignment horizontal="left"/>
      <protection/>
    </xf>
    <xf numFmtId="181" fontId="48" fillId="0" borderId="0" xfId="57" applyNumberFormat="1" applyFont="1" applyFill="1" applyAlignment="1">
      <alignment horizontal="left"/>
      <protection/>
    </xf>
    <xf numFmtId="181" fontId="9" fillId="0" borderId="0" xfId="42" applyNumberFormat="1" applyFont="1" applyFill="1" applyAlignment="1">
      <alignment/>
    </xf>
    <xf numFmtId="9" fontId="82" fillId="0" borderId="0" xfId="60" applyFont="1" applyFill="1" applyAlignment="1">
      <alignment/>
    </xf>
    <xf numFmtId="9" fontId="9" fillId="0" borderId="0" xfId="60" applyFont="1" applyFill="1" applyAlignment="1">
      <alignment/>
    </xf>
    <xf numFmtId="181" fontId="9" fillId="0" borderId="0" xfId="0" applyNumberFormat="1" applyFont="1" applyFill="1" applyAlignment="1">
      <alignment/>
    </xf>
    <xf numFmtId="9" fontId="82" fillId="0" borderId="0" xfId="60" applyFont="1" applyFill="1" applyBorder="1" applyAlignment="1">
      <alignment horizontal="center"/>
    </xf>
    <xf numFmtId="9" fontId="9" fillId="0" borderId="0" xfId="60" applyFont="1" applyFill="1" applyBorder="1" applyAlignment="1">
      <alignment horizontal="center"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0" fontId="84" fillId="0" borderId="0" xfId="53" applyFont="1" applyAlignment="1" applyProtection="1">
      <alignment/>
      <protection/>
    </xf>
    <xf numFmtId="0" fontId="0" fillId="40" borderId="0" xfId="0" applyFill="1" applyAlignment="1">
      <alignment/>
    </xf>
    <xf numFmtId="0" fontId="35" fillId="40" borderId="0" xfId="0" applyFont="1" applyFill="1" applyAlignment="1">
      <alignment/>
    </xf>
    <xf numFmtId="0" fontId="82" fillId="0" borderId="0" xfId="0" applyFont="1" applyAlignment="1">
      <alignment/>
    </xf>
    <xf numFmtId="0" fontId="35" fillId="0" borderId="0" xfId="0" applyFont="1" applyFill="1" applyBorder="1" applyAlignment="1">
      <alignment horizontal="center"/>
    </xf>
    <xf numFmtId="6" fontId="0" fillId="0" borderId="20" xfId="44" applyNumberFormat="1" applyFont="1" applyBorder="1" applyAlignment="1">
      <alignment horizontal="center"/>
    </xf>
    <xf numFmtId="6" fontId="9" fillId="0" borderId="0" xfId="0" applyNumberFormat="1" applyFont="1" applyFill="1" applyBorder="1" applyAlignment="1">
      <alignment horizontal="center"/>
    </xf>
    <xf numFmtId="6" fontId="0" fillId="0" borderId="0" xfId="44" applyNumberFormat="1" applyFont="1" applyFill="1" applyBorder="1" applyAlignment="1">
      <alignment horizontal="center"/>
    </xf>
    <xf numFmtId="6" fontId="9" fillId="0" borderId="0" xfId="44" applyNumberFormat="1" applyFon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9" fontId="0" fillId="0" borderId="0" xfId="6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8" fontId="32" fillId="0" borderId="0" xfId="0" applyNumberFormat="1" applyFont="1" applyAlignment="1">
      <alignment horizontal="center"/>
    </xf>
    <xf numFmtId="42" fontId="32" fillId="0" borderId="0" xfId="0" applyNumberFormat="1" applyFont="1" applyAlignment="1">
      <alignment horizontal="center"/>
    </xf>
    <xf numFmtId="0" fontId="85" fillId="0" borderId="0" xfId="0" applyFont="1" applyAlignment="1">
      <alignment/>
    </xf>
    <xf numFmtId="6" fontId="61" fillId="0" borderId="22" xfId="0" applyNumberFormat="1" applyFont="1" applyBorder="1" applyAlignment="1">
      <alignment/>
    </xf>
    <xf numFmtId="0" fontId="61" fillId="0" borderId="22" xfId="0" applyFont="1" applyBorder="1" applyAlignment="1">
      <alignment/>
    </xf>
    <xf numFmtId="6" fontId="86" fillId="0" borderId="23" xfId="0" applyNumberFormat="1" applyFont="1" applyBorder="1" applyAlignment="1">
      <alignment/>
    </xf>
    <xf numFmtId="0" fontId="64" fillId="35" borderId="0" xfId="57" applyFont="1" applyFill="1" applyBorder="1" applyAlignment="1">
      <alignment horizontal="left"/>
      <protection/>
    </xf>
    <xf numFmtId="0" fontId="32" fillId="0" borderId="0" xfId="57" applyFont="1" applyFill="1" applyAlignment="1">
      <alignment horizontal="left"/>
      <protection/>
    </xf>
    <xf numFmtId="0" fontId="32" fillId="0" borderId="0" xfId="57" applyFont="1" applyFill="1" applyBorder="1" applyAlignment="1">
      <alignment horizontal="left"/>
      <protection/>
    </xf>
    <xf numFmtId="0" fontId="9" fillId="35" borderId="0" xfId="0" applyFont="1" applyFill="1" applyAlignment="1">
      <alignment/>
    </xf>
    <xf numFmtId="0" fontId="3" fillId="0" borderId="0" xfId="0" applyFont="1" applyAlignment="1">
      <alignment horizontal="right"/>
    </xf>
    <xf numFmtId="186" fontId="12" fillId="35" borderId="0" xfId="57" applyNumberFormat="1" applyFont="1" applyFill="1" applyAlignment="1">
      <alignment horizontal="left"/>
      <protection/>
    </xf>
    <xf numFmtId="181" fontId="4" fillId="0" borderId="0" xfId="0" applyNumberFormat="1" applyFont="1" applyFill="1" applyAlignment="1">
      <alignment horizontal="left"/>
    </xf>
    <xf numFmtId="0" fontId="13" fillId="0" borderId="0" xfId="57" applyFont="1" applyFill="1" applyAlignment="1">
      <alignment horizontal="left"/>
      <protection/>
    </xf>
    <xf numFmtId="181" fontId="4" fillId="0" borderId="0" xfId="57" applyNumberFormat="1" applyFont="1" applyAlignment="1">
      <alignment horizontal="right"/>
      <protection/>
    </xf>
    <xf numFmtId="181" fontId="4" fillId="0" borderId="0" xfId="0" applyNumberFormat="1" applyFont="1" applyAlignment="1">
      <alignment horizontal="right"/>
    </xf>
    <xf numFmtId="181" fontId="4" fillId="0" borderId="0" xfId="57" applyNumberFormat="1" applyFont="1" applyFill="1" applyAlignment="1">
      <alignment horizontal="right"/>
      <protection/>
    </xf>
    <xf numFmtId="181" fontId="12" fillId="35" borderId="0" xfId="57" applyNumberFormat="1" applyFont="1" applyFill="1" applyAlignment="1">
      <alignment horizontal="right"/>
      <protection/>
    </xf>
    <xf numFmtId="0" fontId="4" fillId="0" borderId="0" xfId="57" applyFont="1" applyAlignment="1">
      <alignment/>
      <protection/>
    </xf>
    <xf numFmtId="0" fontId="4" fillId="0" borderId="0" xfId="57" applyFont="1" applyFill="1" applyAlignment="1">
      <alignment/>
      <protection/>
    </xf>
    <xf numFmtId="181" fontId="4" fillId="0" borderId="0" xfId="57" applyNumberFormat="1" applyFont="1" applyFill="1" applyAlignment="1">
      <alignment/>
      <protection/>
    </xf>
    <xf numFmtId="1" fontId="4" fillId="0" borderId="0" xfId="57" applyNumberFormat="1" applyFont="1" applyFill="1" applyAlignment="1">
      <alignment/>
      <protection/>
    </xf>
    <xf numFmtId="6" fontId="3" fillId="0" borderId="0" xfId="0" applyNumberFormat="1" applyFont="1" applyFill="1" applyAlignment="1">
      <alignment/>
    </xf>
    <xf numFmtId="0" fontId="12" fillId="0" borderId="23" xfId="57" applyFont="1" applyFill="1" applyBorder="1" applyAlignment="1">
      <alignment horizontal="left"/>
      <protection/>
    </xf>
    <xf numFmtId="186" fontId="12" fillId="0" borderId="23" xfId="57" applyNumberFormat="1" applyFont="1" applyFill="1" applyBorder="1" applyAlignment="1">
      <alignment horizontal="left"/>
      <protection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0" fontId="88" fillId="0" borderId="0" xfId="0" applyNumberFormat="1" applyFont="1" applyAlignment="1">
      <alignment/>
    </xf>
    <xf numFmtId="0" fontId="21" fillId="34" borderId="0" xfId="0" applyFont="1" applyFill="1" applyAlignment="1">
      <alignment/>
    </xf>
    <xf numFmtId="6" fontId="3" fillId="34" borderId="0" xfId="0" applyNumberFormat="1" applyFont="1" applyFill="1" applyAlignment="1">
      <alignment/>
    </xf>
    <xf numFmtId="0" fontId="27" fillId="34" borderId="0" xfId="0" applyFont="1" applyFill="1" applyAlignment="1">
      <alignment/>
    </xf>
    <xf numFmtId="0" fontId="13" fillId="34" borderId="0" xfId="0" applyFont="1" applyFill="1" applyAlignment="1">
      <alignment/>
    </xf>
    <xf numFmtId="186" fontId="4" fillId="34" borderId="0" xfId="44" applyNumberFormat="1" applyFont="1" applyFill="1" applyAlignment="1">
      <alignment horizontal="left"/>
    </xf>
    <xf numFmtId="181" fontId="4" fillId="34" borderId="0" xfId="0" applyNumberFormat="1" applyFont="1" applyFill="1" applyAlignment="1">
      <alignment horizontal="left"/>
    </xf>
    <xf numFmtId="186" fontId="12" fillId="34" borderId="23" xfId="57" applyNumberFormat="1" applyFont="1" applyFill="1" applyBorder="1" applyAlignment="1">
      <alignment horizontal="left"/>
      <protection/>
    </xf>
    <xf numFmtId="0" fontId="13" fillId="34" borderId="0" xfId="0" applyFont="1" applyFill="1" applyAlignment="1">
      <alignment horizontal="left"/>
    </xf>
    <xf numFmtId="181" fontId="4" fillId="34" borderId="0" xfId="57" applyNumberFormat="1" applyFont="1" applyFill="1" applyAlignment="1">
      <alignment horizontal="right"/>
      <protection/>
    </xf>
    <xf numFmtId="181" fontId="4" fillId="34" borderId="0" xfId="0" applyNumberFormat="1" applyFont="1" applyFill="1" applyAlignment="1">
      <alignment horizontal="right"/>
    </xf>
    <xf numFmtId="0" fontId="3" fillId="34" borderId="0" xfId="57" applyFont="1" applyFill="1" applyAlignment="1">
      <alignment horizontal="right"/>
      <protection/>
    </xf>
    <xf numFmtId="0" fontId="4" fillId="34" borderId="0" xfId="57" applyFont="1" applyFill="1" applyAlignment="1">
      <alignment/>
      <protection/>
    </xf>
    <xf numFmtId="181" fontId="4" fillId="34" borderId="0" xfId="57" applyNumberFormat="1" applyFont="1" applyFill="1" applyAlignment="1">
      <alignment/>
      <protection/>
    </xf>
    <xf numFmtId="1" fontId="4" fillId="34" borderId="0" xfId="57" applyNumberFormat="1" applyFont="1" applyFill="1" applyAlignment="1">
      <alignment/>
      <protection/>
    </xf>
    <xf numFmtId="0" fontId="4" fillId="34" borderId="0" xfId="0" applyFont="1" applyFill="1" applyBorder="1" applyAlignment="1">
      <alignment/>
    </xf>
    <xf numFmtId="181" fontId="4" fillId="33" borderId="0" xfId="0" applyNumberFormat="1" applyFont="1" applyFill="1" applyAlignment="1">
      <alignment horizontal="left"/>
    </xf>
    <xf numFmtId="186" fontId="12" fillId="33" borderId="23" xfId="57" applyNumberFormat="1" applyFont="1" applyFill="1" applyBorder="1" applyAlignment="1">
      <alignment horizontal="left"/>
      <protection/>
    </xf>
    <xf numFmtId="181" fontId="4" fillId="33" borderId="0" xfId="57" applyNumberFormat="1" applyFont="1" applyFill="1" applyAlignment="1">
      <alignment horizontal="right"/>
      <protection/>
    </xf>
    <xf numFmtId="181" fontId="4" fillId="33" borderId="0" xfId="0" applyNumberFormat="1" applyFont="1" applyFill="1" applyAlignment="1">
      <alignment horizontal="right"/>
    </xf>
    <xf numFmtId="0" fontId="4" fillId="33" borderId="0" xfId="57" applyFont="1" applyFill="1" applyAlignment="1">
      <alignment/>
      <protection/>
    </xf>
    <xf numFmtId="181" fontId="4" fillId="33" borderId="0" xfId="57" applyNumberFormat="1" applyFont="1" applyFill="1" applyAlignment="1">
      <alignment/>
      <protection/>
    </xf>
    <xf numFmtId="1" fontId="4" fillId="33" borderId="0" xfId="57" applyNumberFormat="1" applyFont="1" applyFill="1" applyAlignment="1">
      <alignment/>
      <protection/>
    </xf>
    <xf numFmtId="0" fontId="4" fillId="33" borderId="0" xfId="0" applyFont="1" applyFill="1" applyBorder="1" applyAlignment="1">
      <alignment/>
    </xf>
    <xf numFmtId="0" fontId="3" fillId="33" borderId="0" xfId="57" applyFont="1" applyFill="1" applyAlignment="1">
      <alignment horizontal="left"/>
      <protection/>
    </xf>
    <xf numFmtId="1" fontId="3" fillId="33" borderId="0" xfId="0" applyNumberFormat="1" applyFont="1" applyFill="1" applyAlignment="1">
      <alignment/>
    </xf>
    <xf numFmtId="0" fontId="22" fillId="35" borderId="18" xfId="57" applyFont="1" applyFill="1" applyBorder="1" applyAlignment="1">
      <alignment horizontal="right"/>
      <protection/>
    </xf>
    <xf numFmtId="186" fontId="3" fillId="35" borderId="18" xfId="57" applyNumberFormat="1" applyFont="1" applyFill="1" applyBorder="1" applyAlignment="1">
      <alignment horizontal="left"/>
      <protection/>
    </xf>
    <xf numFmtId="0" fontId="3" fillId="35" borderId="18" xfId="57" applyFont="1" applyFill="1" applyBorder="1" applyAlignment="1">
      <alignment/>
      <protection/>
    </xf>
    <xf numFmtId="186" fontId="3" fillId="35" borderId="18" xfId="57" applyNumberFormat="1" applyFont="1" applyFill="1" applyBorder="1" applyAlignment="1">
      <alignment/>
      <protection/>
    </xf>
    <xf numFmtId="0" fontId="12" fillId="35" borderId="10" xfId="57" applyFont="1" applyFill="1" applyBorder="1" applyAlignment="1">
      <alignment horizontal="left"/>
      <protection/>
    </xf>
    <xf numFmtId="3" fontId="12" fillId="34" borderId="10" xfId="57" applyNumberFormat="1" applyFont="1" applyFill="1" applyBorder="1" applyAlignment="1">
      <alignment/>
      <protection/>
    </xf>
    <xf numFmtId="3" fontId="12" fillId="33" borderId="10" xfId="57" applyNumberFormat="1" applyFont="1" applyFill="1" applyBorder="1" applyAlignment="1">
      <alignment/>
      <protection/>
    </xf>
    <xf numFmtId="3" fontId="12" fillId="35" borderId="10" xfId="57" applyNumberFormat="1" applyFont="1" applyFill="1" applyBorder="1" applyAlignment="1">
      <alignment/>
      <protection/>
    </xf>
    <xf numFmtId="1" fontId="3" fillId="33" borderId="10" xfId="0" applyNumberFormat="1" applyFont="1" applyFill="1" applyBorder="1" applyAlignment="1">
      <alignment/>
    </xf>
    <xf numFmtId="0" fontId="72" fillId="33" borderId="0" xfId="0" applyFont="1" applyFill="1" applyAlignment="1">
      <alignment/>
    </xf>
    <xf numFmtId="10" fontId="4" fillId="33" borderId="0" xfId="0" applyNumberFormat="1" applyFont="1" applyFill="1" applyAlignment="1">
      <alignment/>
    </xf>
    <xf numFmtId="0" fontId="3" fillId="33" borderId="0" xfId="57" applyFont="1" applyFill="1" applyBorder="1" applyAlignment="1">
      <alignment horizontal="right"/>
      <protection/>
    </xf>
    <xf numFmtId="0" fontId="89" fillId="0" borderId="0" xfId="0" applyFont="1" applyAlignment="1">
      <alignment/>
    </xf>
    <xf numFmtId="10" fontId="0" fillId="0" borderId="0" xfId="0" applyNumberFormat="1" applyFont="1" applyAlignment="1">
      <alignment/>
    </xf>
    <xf numFmtId="0" fontId="87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181" fontId="41" fillId="34" borderId="0" xfId="0" applyNumberFormat="1" applyFont="1" applyFill="1" applyAlignment="1">
      <alignment horizontal="left"/>
    </xf>
    <xf numFmtId="181" fontId="41" fillId="33" borderId="0" xfId="0" applyNumberFormat="1" applyFont="1" applyFill="1" applyAlignment="1">
      <alignment horizontal="left"/>
    </xf>
    <xf numFmtId="181" fontId="41" fillId="0" borderId="0" xfId="0" applyNumberFormat="1" applyFont="1" applyFill="1" applyAlignment="1">
      <alignment horizontal="left"/>
    </xf>
    <xf numFmtId="10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181" fontId="41" fillId="0" borderId="0" xfId="0" applyNumberFormat="1" applyFont="1" applyAlignment="1">
      <alignment horizontal="left"/>
    </xf>
    <xf numFmtId="6" fontId="2" fillId="37" borderId="20" xfId="0" applyNumberFormat="1" applyFont="1" applyFill="1" applyBorder="1" applyAlignment="1">
      <alignment horizontal="center"/>
    </xf>
    <xf numFmtId="6" fontId="0" fillId="0" borderId="20" xfId="0" applyNumberFormat="1" applyFont="1" applyBorder="1" applyAlignment="1">
      <alignment horizontal="center"/>
    </xf>
    <xf numFmtId="6" fontId="2" fillId="35" borderId="20" xfId="0" applyNumberFormat="1" applyFont="1" applyFill="1" applyBorder="1" applyAlignment="1">
      <alignment horizontal="center"/>
    </xf>
    <xf numFmtId="6" fontId="35" fillId="0" borderId="20" xfId="0" applyNumberFormat="1" applyFont="1" applyBorder="1" applyAlignment="1">
      <alignment horizontal="center"/>
    </xf>
    <xf numFmtId="6" fontId="0" fillId="0" borderId="20" xfId="44" applyNumberFormat="1" applyFont="1" applyFill="1" applyBorder="1" applyAlignment="1">
      <alignment horizontal="center"/>
    </xf>
    <xf numFmtId="6" fontId="0" fillId="0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32" fillId="0" borderId="20" xfId="0" applyFont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6" fontId="0" fillId="0" borderId="0" xfId="44" applyNumberFormat="1" applyFont="1" applyFill="1" applyBorder="1" applyAlignment="1">
      <alignment horizontal="center"/>
    </xf>
    <xf numFmtId="6" fontId="0" fillId="0" borderId="0" xfId="0" applyNumberFormat="1" applyBorder="1" applyAlignment="1">
      <alignment/>
    </xf>
    <xf numFmtId="6" fontId="0" fillId="0" borderId="0" xfId="0" applyNumberFormat="1" applyFont="1" applyBorder="1" applyAlignment="1">
      <alignment horizontal="right"/>
    </xf>
    <xf numFmtId="6" fontId="0" fillId="0" borderId="0" xfId="0" applyNumberFormat="1" applyFont="1" applyFill="1" applyAlignment="1">
      <alignment/>
    </xf>
    <xf numFmtId="6" fontId="35" fillId="0" borderId="0" xfId="0" applyNumberFormat="1" applyFont="1" applyAlignment="1">
      <alignment/>
    </xf>
    <xf numFmtId="186" fontId="0" fillId="0" borderId="16" xfId="44" applyNumberFormat="1" applyFont="1" applyBorder="1" applyAlignment="1">
      <alignment/>
    </xf>
    <xf numFmtId="186" fontId="2" fillId="0" borderId="0" xfId="44" applyNumberFormat="1" applyFont="1" applyAlignment="1">
      <alignment/>
    </xf>
    <xf numFmtId="0" fontId="42" fillId="0" borderId="0" xfId="0" applyFont="1" applyBorder="1" applyAlignment="1">
      <alignment/>
    </xf>
    <xf numFmtId="0" fontId="70" fillId="0" borderId="0" xfId="0" applyFont="1" applyAlignment="1">
      <alignment/>
    </xf>
    <xf numFmtId="4" fontId="0" fillId="0" borderId="0" xfId="0" applyNumberFormat="1" applyFont="1" applyAlignment="1">
      <alignment/>
    </xf>
    <xf numFmtId="9" fontId="45" fillId="0" borderId="0" xfId="6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86" fontId="0" fillId="0" borderId="0" xfId="44" applyNumberFormat="1" applyFont="1" applyFill="1" applyAlignment="1">
      <alignment/>
    </xf>
    <xf numFmtId="186" fontId="9" fillId="0" borderId="0" xfId="44" applyNumberFormat="1" applyFont="1" applyAlignment="1">
      <alignment/>
    </xf>
    <xf numFmtId="186" fontId="30" fillId="0" borderId="0" xfId="44" applyNumberFormat="1" applyFont="1" applyAlignment="1">
      <alignment/>
    </xf>
    <xf numFmtId="186" fontId="33" fillId="0" borderId="0" xfId="44" applyNumberFormat="1" applyFont="1" applyAlignment="1">
      <alignment/>
    </xf>
    <xf numFmtId="186" fontId="2" fillId="35" borderId="0" xfId="44" applyNumberFormat="1" applyFont="1" applyFill="1" applyAlignment="1">
      <alignment/>
    </xf>
    <xf numFmtId="186" fontId="0" fillId="0" borderId="0" xfId="44" applyNumberFormat="1" applyFont="1" applyAlignment="1">
      <alignment/>
    </xf>
    <xf numFmtId="186" fontId="0" fillId="35" borderId="0" xfId="44" applyNumberFormat="1" applyFont="1" applyFill="1" applyAlignment="1">
      <alignment/>
    </xf>
    <xf numFmtId="186" fontId="0" fillId="0" borderId="0" xfId="44" applyNumberFormat="1" applyFont="1" applyAlignment="1">
      <alignment/>
    </xf>
    <xf numFmtId="186" fontId="0" fillId="33" borderId="0" xfId="44" applyNumberFormat="1" applyFont="1" applyFill="1" applyAlignment="1">
      <alignment/>
    </xf>
    <xf numFmtId="186" fontId="32" fillId="0" borderId="0" xfId="44" applyNumberFormat="1" applyFont="1" applyFill="1" applyAlignment="1">
      <alignment/>
    </xf>
    <xf numFmtId="186" fontId="30" fillId="0" borderId="0" xfId="44" applyNumberFormat="1" applyFont="1" applyAlignment="1">
      <alignment/>
    </xf>
    <xf numFmtId="186" fontId="28" fillId="35" borderId="0" xfId="44" applyNumberFormat="1" applyFont="1" applyFill="1" applyBorder="1" applyAlignment="1">
      <alignment/>
    </xf>
    <xf numFmtId="0" fontId="72" fillId="0" borderId="0" xfId="0" applyFont="1" applyFill="1" applyAlignment="1">
      <alignment/>
    </xf>
    <xf numFmtId="1" fontId="4" fillId="34" borderId="0" xfId="57" applyNumberFormat="1" applyFont="1" applyFill="1" applyAlignment="1">
      <alignment/>
      <protection/>
    </xf>
    <xf numFmtId="1" fontId="4" fillId="33" borderId="0" xfId="57" applyNumberFormat="1" applyFont="1" applyFill="1" applyAlignment="1">
      <alignment/>
      <protection/>
    </xf>
    <xf numFmtId="0" fontId="0" fillId="41" borderId="0" xfId="0" applyFont="1" applyFill="1" applyAlignment="1">
      <alignment/>
    </xf>
    <xf numFmtId="0" fontId="4" fillId="34" borderId="0" xfId="57" applyFont="1" applyFill="1" applyAlignment="1">
      <alignment/>
      <protection/>
    </xf>
    <xf numFmtId="0" fontId="4" fillId="33" borderId="0" xfId="57" applyFont="1" applyFill="1" applyAlignment="1">
      <alignment/>
      <protection/>
    </xf>
    <xf numFmtId="0" fontId="4" fillId="0" borderId="0" xfId="57" applyFont="1" applyFill="1" applyAlignment="1">
      <alignment/>
      <protection/>
    </xf>
    <xf numFmtId="1" fontId="23" fillId="33" borderId="0" xfId="0" applyNumberFormat="1" applyFont="1" applyFill="1" applyAlignment="1">
      <alignment/>
    </xf>
    <xf numFmtId="0" fontId="23" fillId="0" borderId="0" xfId="57" applyFont="1" applyFill="1" applyAlignment="1">
      <alignment horizontal="left"/>
      <protection/>
    </xf>
    <xf numFmtId="0" fontId="23" fillId="34" borderId="0" xfId="57" applyFont="1" applyFill="1" applyAlignment="1">
      <alignment/>
      <protection/>
    </xf>
    <xf numFmtId="0" fontId="23" fillId="33" borderId="0" xfId="57" applyFont="1" applyFill="1" applyAlignment="1">
      <alignment/>
      <protection/>
    </xf>
    <xf numFmtId="0" fontId="23" fillId="0" borderId="0" xfId="57" applyFont="1" applyFill="1" applyAlignment="1">
      <alignment/>
      <protection/>
    </xf>
    <xf numFmtId="10" fontId="23" fillId="0" borderId="0" xfId="0" applyNumberFormat="1" applyFont="1" applyAlignment="1">
      <alignment/>
    </xf>
    <xf numFmtId="3" fontId="23" fillId="34" borderId="0" xfId="57" applyNumberFormat="1" applyFont="1" applyFill="1" applyAlignment="1">
      <alignment/>
      <protection/>
    </xf>
    <xf numFmtId="1" fontId="23" fillId="0" borderId="0" xfId="0" applyNumberFormat="1" applyFont="1" applyFill="1" applyAlignment="1">
      <alignment/>
    </xf>
    <xf numFmtId="10" fontId="23" fillId="0" borderId="0" xfId="0" applyNumberFormat="1" applyFont="1" applyFill="1" applyAlignment="1">
      <alignment/>
    </xf>
    <xf numFmtId="0" fontId="23" fillId="0" borderId="0" xfId="57" applyFont="1" applyAlignment="1">
      <alignment/>
      <protection/>
    </xf>
    <xf numFmtId="0" fontId="23" fillId="0" borderId="0" xfId="0" applyFont="1" applyFill="1" applyBorder="1" applyAlignment="1">
      <alignment/>
    </xf>
    <xf numFmtId="193" fontId="23" fillId="34" borderId="0" xfId="0" applyNumberFormat="1" applyFont="1" applyFill="1" applyBorder="1" applyAlignment="1">
      <alignment/>
    </xf>
    <xf numFmtId="193" fontId="23" fillId="33" borderId="0" xfId="0" applyNumberFormat="1" applyFont="1" applyFill="1" applyBorder="1" applyAlignment="1">
      <alignment/>
    </xf>
    <xf numFmtId="193" fontId="23" fillId="0" borderId="0" xfId="0" applyNumberFormat="1" applyFont="1" applyFill="1" applyBorder="1" applyAlignment="1">
      <alignment/>
    </xf>
    <xf numFmtId="1" fontId="4" fillId="0" borderId="0" xfId="57" applyNumberFormat="1" applyFont="1" applyFill="1" applyAlignment="1">
      <alignment/>
      <protection/>
    </xf>
    <xf numFmtId="10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35" borderId="24" xfId="57" applyFont="1" applyFill="1" applyBorder="1" applyAlignment="1">
      <alignment horizontal="left"/>
      <protection/>
    </xf>
    <xf numFmtId="181" fontId="3" fillId="35" borderId="24" xfId="57" applyNumberFormat="1" applyFont="1" applyFill="1" applyBorder="1" applyAlignment="1">
      <alignment horizontal="left"/>
      <protection/>
    </xf>
    <xf numFmtId="186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81" fontId="39" fillId="0" borderId="0" xfId="57" applyNumberFormat="1" applyFont="1" applyFill="1" applyAlignment="1">
      <alignment horizontal="left"/>
      <protection/>
    </xf>
    <xf numFmtId="181" fontId="35" fillId="0" borderId="0" xfId="42" applyNumberFormat="1" applyFont="1" applyFill="1" applyAlignment="1">
      <alignment/>
    </xf>
    <xf numFmtId="9" fontId="64" fillId="0" borderId="0" xfId="60" applyFont="1" applyFill="1" applyAlignment="1">
      <alignment/>
    </xf>
    <xf numFmtId="9" fontId="64" fillId="0" borderId="0" xfId="60" applyFont="1" applyFill="1" applyBorder="1" applyAlignment="1">
      <alignment horizontal="center"/>
    </xf>
    <xf numFmtId="0" fontId="85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181" fontId="23" fillId="33" borderId="0" xfId="57" applyNumberFormat="1" applyFont="1" applyFill="1" applyAlignment="1">
      <alignment horizontal="left"/>
      <protection/>
    </xf>
    <xf numFmtId="9" fontId="35" fillId="33" borderId="0" xfId="60" applyFont="1" applyFill="1" applyAlignment="1">
      <alignment/>
    </xf>
    <xf numFmtId="9" fontId="35" fillId="33" borderId="0" xfId="60" applyFont="1" applyFill="1" applyBorder="1" applyAlignment="1">
      <alignment horizontal="center"/>
    </xf>
    <xf numFmtId="6" fontId="35" fillId="0" borderId="0" xfId="0" applyNumberFormat="1" applyFont="1" applyFill="1" applyBorder="1" applyAlignment="1">
      <alignment/>
    </xf>
    <xf numFmtId="0" fontId="37" fillId="0" borderId="0" xfId="0" applyFont="1" applyAlignment="1">
      <alignment/>
    </xf>
    <xf numFmtId="181" fontId="39" fillId="0" borderId="0" xfId="57" applyNumberFormat="1" applyFont="1" applyAlignment="1">
      <alignment horizontal="left"/>
      <protection/>
    </xf>
    <xf numFmtId="181" fontId="35" fillId="0" borderId="0" xfId="0" applyNumberFormat="1" applyFont="1" applyFill="1" applyAlignment="1">
      <alignment/>
    </xf>
    <xf numFmtId="0" fontId="92" fillId="0" borderId="0" xfId="0" applyFont="1" applyFill="1" applyAlignment="1">
      <alignment/>
    </xf>
    <xf numFmtId="0" fontId="93" fillId="0" borderId="0" xfId="0" applyFont="1" applyFill="1" applyBorder="1" applyAlignment="1">
      <alignment/>
    </xf>
    <xf numFmtId="181" fontId="94" fillId="0" borderId="0" xfId="57" applyNumberFormat="1" applyFont="1" applyFill="1" applyAlignment="1">
      <alignment horizontal="left"/>
      <protection/>
    </xf>
    <xf numFmtId="181" fontId="92" fillId="0" borderId="0" xfId="42" applyNumberFormat="1" applyFont="1" applyFill="1" applyAlignment="1">
      <alignment/>
    </xf>
    <xf numFmtId="9" fontId="95" fillId="0" borderId="0" xfId="60" applyFont="1" applyFill="1" applyAlignment="1">
      <alignment/>
    </xf>
    <xf numFmtId="9" fontId="95" fillId="0" borderId="0" xfId="60" applyFont="1" applyFill="1" applyBorder="1" applyAlignment="1">
      <alignment horizontal="center"/>
    </xf>
    <xf numFmtId="0" fontId="96" fillId="0" borderId="0" xfId="0" applyFont="1" applyFill="1" applyBorder="1" applyAlignment="1">
      <alignment/>
    </xf>
    <xf numFmtId="6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57" applyFont="1" applyAlignment="1">
      <alignment horizontal="left"/>
      <protection/>
    </xf>
    <xf numFmtId="0" fontId="35" fillId="0" borderId="18" xfId="0" applyFont="1" applyFill="1" applyBorder="1" applyAlignment="1">
      <alignment/>
    </xf>
    <xf numFmtId="0" fontId="23" fillId="0" borderId="18" xfId="57" applyFont="1" applyFill="1" applyBorder="1" applyAlignment="1">
      <alignment horizontal="left"/>
      <protection/>
    </xf>
    <xf numFmtId="181" fontId="35" fillId="0" borderId="18" xfId="42" applyNumberFormat="1" applyFont="1" applyFill="1" applyBorder="1" applyAlignment="1">
      <alignment/>
    </xf>
    <xf numFmtId="9" fontId="64" fillId="0" borderId="18" xfId="60" applyFont="1" applyFill="1" applyBorder="1" applyAlignment="1">
      <alignment/>
    </xf>
    <xf numFmtId="9" fontId="35" fillId="0" borderId="18" xfId="60" applyFont="1" applyFill="1" applyBorder="1" applyAlignment="1">
      <alignment/>
    </xf>
    <xf numFmtId="0" fontId="4" fillId="0" borderId="0" xfId="0" applyFont="1" applyFill="1" applyAlignment="1">
      <alignment horizontal="left"/>
    </xf>
    <xf numFmtId="41" fontId="4" fillId="0" borderId="0" xfId="0" applyNumberFormat="1" applyFont="1" applyAlignment="1">
      <alignment/>
    </xf>
    <xf numFmtId="181" fontId="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41" fontId="4" fillId="0" borderId="0" xfId="0" applyNumberFormat="1" applyFont="1" applyFill="1" applyAlignment="1">
      <alignment/>
    </xf>
    <xf numFmtId="9" fontId="65" fillId="0" borderId="0" xfId="6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9" fontId="64" fillId="0" borderId="18" xfId="60" applyFont="1" applyFill="1" applyBorder="1" applyAlignment="1">
      <alignment horizontal="center"/>
    </xf>
    <xf numFmtId="0" fontId="64" fillId="35" borderId="13" xfId="0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181" fontId="93" fillId="33" borderId="0" xfId="57" applyNumberFormat="1" applyFont="1" applyFill="1" applyAlignment="1">
      <alignment horizontal="left"/>
      <protection/>
    </xf>
    <xf numFmtId="9" fontId="92" fillId="33" borderId="0" xfId="60" applyFont="1" applyFill="1" applyAlignment="1">
      <alignment/>
    </xf>
    <xf numFmtId="9" fontId="92" fillId="33" borderId="0" xfId="60" applyFont="1" applyFill="1" applyBorder="1" applyAlignment="1">
      <alignment horizontal="center"/>
    </xf>
    <xf numFmtId="0" fontId="53" fillId="38" borderId="0" xfId="0" applyFont="1" applyFill="1" applyAlignment="1">
      <alignment horizontal="left" wrapText="1"/>
    </xf>
    <xf numFmtId="0" fontId="55" fillId="38" borderId="0" xfId="0" applyFont="1" applyFill="1" applyAlignment="1">
      <alignment horizontal="left" wrapText="1"/>
    </xf>
    <xf numFmtId="0" fontId="54" fillId="38" borderId="0" xfId="0" applyFont="1" applyFill="1" applyAlignment="1">
      <alignment horizontal="left" vertical="top" wrapText="1"/>
    </xf>
    <xf numFmtId="0" fontId="28" fillId="38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ENSE DETAI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9%20DRAFT%2012.15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month by month"/>
      <sheetName val="brewery week.month.year"/>
      <sheetName val="Payroll Budget Detail"/>
    </sheetNames>
    <sheetDataSet>
      <sheetData sheetId="1">
        <row r="24">
          <cell r="E24">
            <v>1531.1538461538462</v>
          </cell>
        </row>
        <row r="25">
          <cell r="E25">
            <v>560.5384615384615</v>
          </cell>
        </row>
        <row r="26">
          <cell r="E26">
            <v>777.9230769230769</v>
          </cell>
        </row>
        <row r="27">
          <cell r="E27">
            <v>184.84615384615384</v>
          </cell>
        </row>
        <row r="28">
          <cell r="E28">
            <v>1018.8461538461538</v>
          </cell>
        </row>
        <row r="30">
          <cell r="E30">
            <v>118.57153846153845</v>
          </cell>
        </row>
        <row r="35">
          <cell r="E35">
            <v>34.61538461538461</v>
          </cell>
        </row>
        <row r="36">
          <cell r="E36">
            <v>1437.2307692307693</v>
          </cell>
        </row>
        <row r="37">
          <cell r="E37">
            <v>107.7923076923077</v>
          </cell>
        </row>
        <row r="38">
          <cell r="E38">
            <v>718.6153846153846</v>
          </cell>
        </row>
        <row r="39">
          <cell r="E39">
            <v>53.89615384615385</v>
          </cell>
        </row>
        <row r="40">
          <cell r="E40">
            <v>2352.1499999999996</v>
          </cell>
        </row>
        <row r="44">
          <cell r="E44">
            <v>23.076923076923077</v>
          </cell>
        </row>
        <row r="45">
          <cell r="E45">
            <v>23.076923076923077</v>
          </cell>
        </row>
        <row r="46">
          <cell r="E46">
            <v>230.76923076923077</v>
          </cell>
        </row>
        <row r="47">
          <cell r="E47">
            <v>80.76923076923077</v>
          </cell>
        </row>
        <row r="48">
          <cell r="E48">
            <v>23.076923076923077</v>
          </cell>
        </row>
        <row r="49">
          <cell r="E49">
            <v>46.15384615384615</v>
          </cell>
        </row>
        <row r="50">
          <cell r="E50">
            <v>115.38461538461539</v>
          </cell>
        </row>
        <row r="51">
          <cell r="E51">
            <v>215.5846153846154</v>
          </cell>
        </row>
        <row r="52">
          <cell r="E52">
            <v>215.5846153846154</v>
          </cell>
        </row>
        <row r="53">
          <cell r="E53">
            <v>276.9230769230769</v>
          </cell>
        </row>
        <row r="57">
          <cell r="E57">
            <v>184.6153846153846</v>
          </cell>
        </row>
        <row r="58">
          <cell r="E58">
            <v>28.846153846153847</v>
          </cell>
        </row>
        <row r="59">
          <cell r="E59">
            <v>276.9230769230769</v>
          </cell>
        </row>
        <row r="60">
          <cell r="E60">
            <v>490.38461538461536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zoomScalePageLayoutView="0" workbookViewId="0" topLeftCell="C67">
      <selection activeCell="A61" sqref="A61:C63"/>
    </sheetView>
  </sheetViews>
  <sheetFormatPr defaultColWidth="11.421875" defaultRowHeight="12.75"/>
  <cols>
    <col min="1" max="1" width="8.8515625" style="0" customWidth="1"/>
    <col min="2" max="2" width="29.28125" style="0" customWidth="1"/>
    <col min="3" max="3" width="8.8515625" style="0" customWidth="1"/>
    <col min="4" max="4" width="11.140625" style="0" customWidth="1"/>
    <col min="5" max="5" width="13.7109375" style="0" customWidth="1"/>
    <col min="6" max="6" width="15.421875" style="0" customWidth="1"/>
    <col min="7" max="7" width="9.421875" style="185" bestFit="1" customWidth="1"/>
    <col min="8" max="8" width="8.8515625" style="0" customWidth="1"/>
    <col min="9" max="9" width="9.140625" style="185" customWidth="1"/>
    <col min="10" max="10" width="8.8515625" style="0" customWidth="1"/>
    <col min="11" max="11" width="1.8515625" style="114" customWidth="1"/>
    <col min="12" max="13" width="8.8515625" style="0" customWidth="1"/>
    <col min="14" max="14" width="19.8515625" style="0" customWidth="1"/>
    <col min="15" max="16" width="8.8515625" style="0" customWidth="1"/>
    <col min="17" max="17" width="11.140625" style="0" customWidth="1"/>
    <col min="18" max="18" width="10.7109375" style="0" customWidth="1"/>
    <col min="19" max="20" width="8.8515625" style="0" customWidth="1"/>
    <col min="21" max="21" width="10.421875" style="0" customWidth="1"/>
    <col min="22" max="16384" width="8.8515625" style="0" customWidth="1"/>
  </cols>
  <sheetData>
    <row r="1" spans="1:21" ht="15.75">
      <c r="A1" s="251"/>
      <c r="H1" s="4"/>
      <c r="M1" s="251"/>
      <c r="S1" s="185"/>
      <c r="T1" s="4"/>
      <c r="U1" s="185"/>
    </row>
    <row r="2" spans="1:21" ht="15.75">
      <c r="A2" s="251"/>
      <c r="B2" s="4"/>
      <c r="G2" s="251"/>
      <c r="H2" s="4"/>
      <c r="M2" s="251"/>
      <c r="N2" s="4"/>
      <c r="S2" s="251"/>
      <c r="T2" s="4"/>
      <c r="U2" s="185"/>
    </row>
    <row r="3" spans="1:21" ht="15.75">
      <c r="A3" s="251"/>
      <c r="B3" s="4"/>
      <c r="G3" s="251"/>
      <c r="H3" s="4"/>
      <c r="M3" s="251"/>
      <c r="N3" s="4"/>
      <c r="S3" s="251"/>
      <c r="T3" s="4"/>
      <c r="U3" s="185"/>
    </row>
    <row r="4" spans="1:21" ht="12.75">
      <c r="A4" s="112" t="s">
        <v>339</v>
      </c>
      <c r="B4" s="32"/>
      <c r="C4" s="32"/>
      <c r="D4" s="32"/>
      <c r="E4" s="32"/>
      <c r="M4" s="112" t="s">
        <v>339</v>
      </c>
      <c r="N4" s="32"/>
      <c r="O4" s="32"/>
      <c r="P4" s="32"/>
      <c r="Q4" s="32"/>
      <c r="R4" s="119"/>
      <c r="S4" s="185"/>
      <c r="U4" s="185"/>
    </row>
    <row r="5" spans="1:21" ht="12.75">
      <c r="A5" s="226" t="s">
        <v>316</v>
      </c>
      <c r="B5" s="125"/>
      <c r="C5" s="125"/>
      <c r="D5" s="125"/>
      <c r="M5" s="226" t="s">
        <v>316</v>
      </c>
      <c r="N5" s="125"/>
      <c r="O5" s="125"/>
      <c r="P5" s="125"/>
      <c r="S5" s="185"/>
      <c r="U5" s="185"/>
    </row>
    <row r="6" spans="1:21" ht="15.75">
      <c r="A6" s="305" t="s">
        <v>338</v>
      </c>
      <c r="G6" s="272"/>
      <c r="M6" s="305" t="s">
        <v>337</v>
      </c>
      <c r="N6" s="130"/>
      <c r="S6" s="272"/>
      <c r="U6" s="185"/>
    </row>
    <row r="7" spans="6:21" ht="12.75">
      <c r="F7" s="210"/>
      <c r="G7" s="272"/>
      <c r="R7" s="210"/>
      <c r="S7" s="272"/>
      <c r="U7" s="185"/>
    </row>
    <row r="8" spans="1:21" ht="15.75">
      <c r="A8" s="3" t="s">
        <v>42</v>
      </c>
      <c r="B8" s="2"/>
      <c r="C8" s="211" t="s">
        <v>257</v>
      </c>
      <c r="D8" s="211" t="s">
        <v>258</v>
      </c>
      <c r="E8" s="211" t="s">
        <v>259</v>
      </c>
      <c r="F8" s="211" t="s">
        <v>260</v>
      </c>
      <c r="G8" s="273" t="s">
        <v>261</v>
      </c>
      <c r="H8" s="2" t="s">
        <v>327</v>
      </c>
      <c r="I8" s="273" t="s">
        <v>330</v>
      </c>
      <c r="M8" s="3" t="s">
        <v>42</v>
      </c>
      <c r="N8" s="2"/>
      <c r="O8" s="211" t="s">
        <v>257</v>
      </c>
      <c r="P8" s="211" t="s">
        <v>258</v>
      </c>
      <c r="Q8" s="211" t="s">
        <v>259</v>
      </c>
      <c r="R8" s="211" t="s">
        <v>260</v>
      </c>
      <c r="S8" s="273" t="s">
        <v>261</v>
      </c>
      <c r="T8" s="2" t="s">
        <v>327</v>
      </c>
      <c r="U8" s="273" t="s">
        <v>330</v>
      </c>
    </row>
    <row r="9" spans="1:21" ht="12.75">
      <c r="A9" s="199"/>
      <c r="B9" s="199" t="s">
        <v>324</v>
      </c>
      <c r="C9" s="210">
        <v>40</v>
      </c>
      <c r="D9" s="127">
        <v>24</v>
      </c>
      <c r="E9" s="82">
        <f>C9*D9</f>
        <v>960</v>
      </c>
      <c r="F9" s="212">
        <f>E9*52</f>
        <v>49920</v>
      </c>
      <c r="G9" s="274">
        <f>C9/40</f>
        <v>1</v>
      </c>
      <c r="H9">
        <v>40</v>
      </c>
      <c r="I9" s="289">
        <f>C9/30</f>
        <v>1.3333333333333333</v>
      </c>
      <c r="M9" s="199"/>
      <c r="N9" s="199" t="s">
        <v>324</v>
      </c>
      <c r="O9" s="210">
        <v>40</v>
      </c>
      <c r="P9" s="127">
        <v>25</v>
      </c>
      <c r="Q9" s="82">
        <f>O9*P9</f>
        <v>1000</v>
      </c>
      <c r="R9" s="212">
        <f>Q9*52</f>
        <v>52000</v>
      </c>
      <c r="S9" s="274">
        <f>O9/40</f>
        <v>1</v>
      </c>
      <c r="T9">
        <v>40</v>
      </c>
      <c r="U9" s="289">
        <f>O9/30</f>
        <v>1.3333333333333333</v>
      </c>
    </row>
    <row r="10" spans="1:21" s="250" customFormat="1" ht="12.75">
      <c r="A10" s="258"/>
      <c r="B10" s="258" t="s">
        <v>262</v>
      </c>
      <c r="C10" s="259">
        <v>40</v>
      </c>
      <c r="D10" s="293">
        <v>22</v>
      </c>
      <c r="E10" s="129">
        <f>C10*D10</f>
        <v>880</v>
      </c>
      <c r="F10" s="294">
        <f>E10*52</f>
        <v>45760</v>
      </c>
      <c r="G10" s="295">
        <f>C10/40</f>
        <v>1</v>
      </c>
      <c r="H10" s="250">
        <v>40</v>
      </c>
      <c r="I10" s="289">
        <f>C10/30</f>
        <v>1.3333333333333333</v>
      </c>
      <c r="K10" s="296"/>
      <c r="M10" s="258"/>
      <c r="N10" s="258"/>
      <c r="O10" s="259"/>
      <c r="P10" s="293"/>
      <c r="Q10" s="129"/>
      <c r="R10" s="294"/>
      <c r="S10" s="295"/>
      <c r="U10" s="289"/>
    </row>
    <row r="11" spans="1:21" ht="12.75">
      <c r="A11" s="199"/>
      <c r="B11" s="199" t="s">
        <v>341</v>
      </c>
      <c r="C11" s="252">
        <v>40</v>
      </c>
      <c r="D11" s="253">
        <v>18</v>
      </c>
      <c r="E11" s="254">
        <f>C11*D11</f>
        <v>720</v>
      </c>
      <c r="F11" s="255">
        <f>E11*52</f>
        <v>37440</v>
      </c>
      <c r="G11" s="275">
        <f>C11/40</f>
        <v>1</v>
      </c>
      <c r="H11" s="263">
        <v>40</v>
      </c>
      <c r="I11" s="289">
        <f>C11/30</f>
        <v>1.3333333333333333</v>
      </c>
      <c r="M11" s="199"/>
      <c r="N11" s="199" t="s">
        <v>341</v>
      </c>
      <c r="O11" s="252">
        <v>40</v>
      </c>
      <c r="P11" s="253">
        <v>22</v>
      </c>
      <c r="Q11" s="254">
        <f>O11*P11</f>
        <v>880</v>
      </c>
      <c r="R11" s="255">
        <f>Q11*52</f>
        <v>45760</v>
      </c>
      <c r="S11" s="275">
        <f>O11/40</f>
        <v>1</v>
      </c>
      <c r="T11" s="263">
        <v>40</v>
      </c>
      <c r="U11" s="306">
        <f>O11/30</f>
        <v>1.3333333333333333</v>
      </c>
    </row>
    <row r="12" spans="1:21" ht="12.75">
      <c r="A12" s="199"/>
      <c r="B12" s="213" t="s">
        <v>263</v>
      </c>
      <c r="C12" s="264">
        <f>SUM(C9:C11)</f>
        <v>120</v>
      </c>
      <c r="D12" s="265"/>
      <c r="E12" s="266">
        <f>SUM(E9:E11)</f>
        <v>2560</v>
      </c>
      <c r="F12" s="267">
        <f>SUM(F9:F11)</f>
        <v>133120</v>
      </c>
      <c r="G12" s="276">
        <f>SUM(G9:G11)</f>
        <v>3</v>
      </c>
      <c r="H12" s="271"/>
      <c r="I12" s="290">
        <f>SUM(I9:I11)</f>
        <v>4</v>
      </c>
      <c r="M12" s="199"/>
      <c r="N12" s="213" t="s">
        <v>263</v>
      </c>
      <c r="O12" s="264">
        <f>SUM(O9:O11)</f>
        <v>80</v>
      </c>
      <c r="P12" s="265"/>
      <c r="Q12" s="266">
        <f>SUM(Q9:Q11)</f>
        <v>1880</v>
      </c>
      <c r="R12" s="267">
        <f>SUM(R9:R11)</f>
        <v>97760</v>
      </c>
      <c r="S12" s="276">
        <f>SUM(S9:S11)</f>
        <v>2</v>
      </c>
      <c r="T12" s="271"/>
      <c r="U12" s="290">
        <f>SUM(U9:U11)</f>
        <v>2.6666666666666665</v>
      </c>
    </row>
    <row r="13" spans="4:21" ht="12.75">
      <c r="D13" s="215"/>
      <c r="E13" s="119"/>
      <c r="G13" s="272"/>
      <c r="P13" s="215"/>
      <c r="Q13" s="119"/>
      <c r="S13" s="272"/>
      <c r="U13" s="185"/>
    </row>
    <row r="14" spans="5:21" ht="12.75">
      <c r="E14" s="213" t="s">
        <v>264</v>
      </c>
      <c r="F14" s="220">
        <v>819500</v>
      </c>
      <c r="G14" s="272"/>
      <c r="Q14" s="213" t="s">
        <v>264</v>
      </c>
      <c r="R14" s="220">
        <v>819500</v>
      </c>
      <c r="S14" s="272"/>
      <c r="U14" s="185"/>
    </row>
    <row r="15" spans="5:21" ht="12.75">
      <c r="E15" s="213" t="s">
        <v>265</v>
      </c>
      <c r="F15" s="256">
        <f>F12/F14</f>
        <v>0.1624405125076266</v>
      </c>
      <c r="G15" s="272"/>
      <c r="Q15" s="213" t="s">
        <v>265</v>
      </c>
      <c r="R15" s="256">
        <f>R12/R14</f>
        <v>0.11929225137278829</v>
      </c>
      <c r="S15" s="272"/>
      <c r="U15" s="185"/>
    </row>
    <row r="16" spans="3:21" ht="12.75">
      <c r="C16" s="210"/>
      <c r="G16" s="272"/>
      <c r="O16" s="210"/>
      <c r="S16" s="272"/>
      <c r="U16" s="185"/>
    </row>
    <row r="17" spans="1:21" ht="15.75">
      <c r="A17" s="3" t="s">
        <v>266</v>
      </c>
      <c r="B17" s="2"/>
      <c r="C17" s="211" t="s">
        <v>257</v>
      </c>
      <c r="D17" s="211" t="s">
        <v>258</v>
      </c>
      <c r="E17" s="211" t="s">
        <v>259</v>
      </c>
      <c r="F17" s="211" t="s">
        <v>267</v>
      </c>
      <c r="G17" s="273" t="s">
        <v>261</v>
      </c>
      <c r="H17" s="2" t="s">
        <v>327</v>
      </c>
      <c r="I17" s="273" t="s">
        <v>330</v>
      </c>
      <c r="M17" s="3" t="s">
        <v>266</v>
      </c>
      <c r="N17" s="2"/>
      <c r="O17" s="211" t="s">
        <v>257</v>
      </c>
      <c r="P17" s="211" t="s">
        <v>258</v>
      </c>
      <c r="Q17" s="211" t="s">
        <v>259</v>
      </c>
      <c r="R17" s="211" t="s">
        <v>267</v>
      </c>
      <c r="S17" s="273" t="s">
        <v>261</v>
      </c>
      <c r="T17" s="2" t="s">
        <v>327</v>
      </c>
      <c r="U17" s="273" t="s">
        <v>330</v>
      </c>
    </row>
    <row r="18" spans="2:21" ht="12.75">
      <c r="B18" s="199" t="s">
        <v>317</v>
      </c>
      <c r="C18" s="210">
        <v>70</v>
      </c>
      <c r="D18" s="216">
        <v>14</v>
      </c>
      <c r="E18" s="217">
        <f>C18*D18</f>
        <v>980</v>
      </c>
      <c r="F18" s="218">
        <f>E18*52</f>
        <v>50960</v>
      </c>
      <c r="G18" s="274">
        <f>C18/40</f>
        <v>1.75</v>
      </c>
      <c r="H18">
        <v>30</v>
      </c>
      <c r="I18" s="289">
        <f>C18/30</f>
        <v>2.3333333333333335</v>
      </c>
      <c r="N18" s="199" t="s">
        <v>317</v>
      </c>
      <c r="O18" s="210">
        <v>70</v>
      </c>
      <c r="P18" s="216">
        <v>14</v>
      </c>
      <c r="Q18" s="217">
        <f>O18*P18</f>
        <v>980</v>
      </c>
      <c r="R18" s="218">
        <f>Q18*52</f>
        <v>50960</v>
      </c>
      <c r="S18" s="274">
        <f>O18/40</f>
        <v>1.75</v>
      </c>
      <c r="T18">
        <v>30</v>
      </c>
      <c r="U18" s="289">
        <f>O18/30</f>
        <v>2.3333333333333335</v>
      </c>
    </row>
    <row r="19" spans="2:21" ht="12.75">
      <c r="B19" s="199" t="s">
        <v>268</v>
      </c>
      <c r="C19" s="210">
        <v>70</v>
      </c>
      <c r="D19" s="216">
        <v>12</v>
      </c>
      <c r="E19" s="217">
        <f>C19*D19</f>
        <v>840</v>
      </c>
      <c r="F19" s="218">
        <f>E19*52</f>
        <v>43680</v>
      </c>
      <c r="G19" s="274">
        <f>C19/40</f>
        <v>1.75</v>
      </c>
      <c r="H19">
        <v>30</v>
      </c>
      <c r="I19" s="289">
        <f>C19/30</f>
        <v>2.3333333333333335</v>
      </c>
      <c r="N19" s="199" t="s">
        <v>268</v>
      </c>
      <c r="O19" s="210">
        <v>70</v>
      </c>
      <c r="P19" s="216">
        <v>12</v>
      </c>
      <c r="Q19" s="217">
        <f>O19*P19</f>
        <v>840</v>
      </c>
      <c r="R19" s="218">
        <f>Q19*52</f>
        <v>43680</v>
      </c>
      <c r="S19" s="274">
        <f>O19/40</f>
        <v>1.75</v>
      </c>
      <c r="T19">
        <v>30</v>
      </c>
      <c r="U19" s="289">
        <f>O19/30</f>
        <v>2.3333333333333335</v>
      </c>
    </row>
    <row r="20" spans="2:21" ht="12.75">
      <c r="B20" s="199" t="s">
        <v>269</v>
      </c>
      <c r="C20" s="210">
        <v>30</v>
      </c>
      <c r="D20" s="127">
        <v>11</v>
      </c>
      <c r="E20" s="217">
        <f>C20*D20</f>
        <v>330</v>
      </c>
      <c r="F20" s="218">
        <f>E20*52</f>
        <v>17160</v>
      </c>
      <c r="G20" s="272">
        <f>C20/40</f>
        <v>0.75</v>
      </c>
      <c r="H20">
        <v>30</v>
      </c>
      <c r="I20" s="289">
        <f>C20/30</f>
        <v>1</v>
      </c>
      <c r="N20" s="199" t="s">
        <v>269</v>
      </c>
      <c r="O20" s="210">
        <v>30</v>
      </c>
      <c r="P20" s="127">
        <v>11</v>
      </c>
      <c r="Q20" s="217">
        <f>O20*P20</f>
        <v>330</v>
      </c>
      <c r="R20" s="218">
        <f>Q20*52</f>
        <v>17160</v>
      </c>
      <c r="S20" s="272">
        <f>O20/40</f>
        <v>0.75</v>
      </c>
      <c r="T20">
        <v>30</v>
      </c>
      <c r="U20" s="289">
        <f>O20/30</f>
        <v>1</v>
      </c>
    </row>
    <row r="21" spans="2:21" ht="12.75">
      <c r="B21" s="213" t="s">
        <v>270</v>
      </c>
      <c r="C21" s="264">
        <f>SUM(C18:C20)</f>
        <v>170</v>
      </c>
      <c r="D21" s="268"/>
      <c r="E21" s="269">
        <f>SUM(E18:E20)</f>
        <v>2150</v>
      </c>
      <c r="F21" s="270">
        <f>SUM(F18:F20)</f>
        <v>111800</v>
      </c>
      <c r="G21" s="277">
        <f>C21/40</f>
        <v>4.25</v>
      </c>
      <c r="H21" s="271"/>
      <c r="I21" s="290">
        <f>SUM(I18:I20)</f>
        <v>5.666666666666667</v>
      </c>
      <c r="N21" s="213" t="s">
        <v>270</v>
      </c>
      <c r="O21" s="264">
        <f>SUM(O18:O20)</f>
        <v>170</v>
      </c>
      <c r="P21" s="268"/>
      <c r="Q21" s="269">
        <f>SUM(Q18:Q20)</f>
        <v>2150</v>
      </c>
      <c r="R21" s="270">
        <f>SUM(R18:R20)</f>
        <v>111800</v>
      </c>
      <c r="S21" s="277">
        <f>O21/40</f>
        <v>4.25</v>
      </c>
      <c r="T21" s="271"/>
      <c r="U21" s="290">
        <f>SUM(U18:U20)</f>
        <v>5.666666666666667</v>
      </c>
    </row>
    <row r="22" spans="2:21" ht="12.75">
      <c r="B22" s="213"/>
      <c r="C22" s="214"/>
      <c r="D22" s="214"/>
      <c r="E22" s="219" t="s">
        <v>18</v>
      </c>
      <c r="F22" s="220">
        <v>819500</v>
      </c>
      <c r="G22" s="272"/>
      <c r="N22" s="213"/>
      <c r="O22" s="214"/>
      <c r="P22" s="214"/>
      <c r="Q22" s="219" t="s">
        <v>18</v>
      </c>
      <c r="R22" s="220">
        <v>819500</v>
      </c>
      <c r="S22" s="272"/>
      <c r="U22" s="185"/>
    </row>
    <row r="23" spans="2:21" ht="12.75">
      <c r="B23" s="213"/>
      <c r="C23" s="214"/>
      <c r="D23" s="214"/>
      <c r="E23" s="221" t="s">
        <v>271</v>
      </c>
      <c r="F23" s="256">
        <f>F21/F22</f>
        <v>0.13642464917632702</v>
      </c>
      <c r="G23" s="272"/>
      <c r="N23" s="213"/>
      <c r="O23" s="214"/>
      <c r="P23" s="214"/>
      <c r="Q23" s="221" t="s">
        <v>271</v>
      </c>
      <c r="R23" s="256">
        <f>R21/R22</f>
        <v>0.13642464917632702</v>
      </c>
      <c r="S23" s="272"/>
      <c r="U23" s="185"/>
    </row>
    <row r="24" spans="3:21" ht="12.75">
      <c r="C24" s="210"/>
      <c r="D24" s="210"/>
      <c r="E24" s="210"/>
      <c r="F24" s="210"/>
      <c r="G24" s="272"/>
      <c r="O24" s="210"/>
      <c r="P24" s="210"/>
      <c r="Q24" s="210"/>
      <c r="R24" s="210"/>
      <c r="S24" s="272"/>
      <c r="U24" s="185"/>
    </row>
    <row r="25" spans="1:21" ht="15.75">
      <c r="A25" s="3" t="s">
        <v>272</v>
      </c>
      <c r="B25" s="2"/>
      <c r="C25" s="211" t="s">
        <v>257</v>
      </c>
      <c r="D25" s="211" t="s">
        <v>258</v>
      </c>
      <c r="E25" s="211" t="s">
        <v>259</v>
      </c>
      <c r="F25" s="211" t="s">
        <v>267</v>
      </c>
      <c r="G25" s="273" t="s">
        <v>261</v>
      </c>
      <c r="H25" s="2"/>
      <c r="I25" s="273" t="s">
        <v>330</v>
      </c>
      <c r="M25" s="3" t="s">
        <v>272</v>
      </c>
      <c r="N25" s="2"/>
      <c r="O25" s="211" t="s">
        <v>257</v>
      </c>
      <c r="P25" s="211" t="s">
        <v>258</v>
      </c>
      <c r="Q25" s="211" t="s">
        <v>259</v>
      </c>
      <c r="R25" s="211" t="s">
        <v>267</v>
      </c>
      <c r="S25" s="273" t="s">
        <v>261</v>
      </c>
      <c r="T25" s="2"/>
      <c r="U25" s="273" t="s">
        <v>330</v>
      </c>
    </row>
    <row r="26" spans="2:21" ht="12.75">
      <c r="B26" s="258" t="s">
        <v>325</v>
      </c>
      <c r="C26" s="259">
        <v>210</v>
      </c>
      <c r="D26" s="260">
        <v>2.9</v>
      </c>
      <c r="E26" s="261">
        <f>C26*D26</f>
        <v>609</v>
      </c>
      <c r="F26" s="261">
        <f>E26*52</f>
        <v>31668</v>
      </c>
      <c r="G26" s="272">
        <f>C26/40</f>
        <v>5.25</v>
      </c>
      <c r="H26">
        <v>30</v>
      </c>
      <c r="I26" s="289">
        <f>C26/30</f>
        <v>7</v>
      </c>
      <c r="N26" s="258" t="s">
        <v>325</v>
      </c>
      <c r="O26" s="259">
        <v>210</v>
      </c>
      <c r="P26" s="260">
        <v>2.9</v>
      </c>
      <c r="Q26" s="261">
        <f>O26*P26</f>
        <v>609</v>
      </c>
      <c r="R26" s="261">
        <f>Q26*52</f>
        <v>31668</v>
      </c>
      <c r="S26" s="272">
        <f>O26/40</f>
        <v>5.25</v>
      </c>
      <c r="T26">
        <v>30</v>
      </c>
      <c r="U26" s="289">
        <f>O26/30</f>
        <v>7</v>
      </c>
    </row>
    <row r="27" spans="2:21" ht="12.75">
      <c r="B27" s="199" t="s">
        <v>273</v>
      </c>
      <c r="C27" s="210">
        <v>37</v>
      </c>
      <c r="D27" s="127">
        <v>10</v>
      </c>
      <c r="E27" s="218">
        <f>C27*D27</f>
        <v>370</v>
      </c>
      <c r="F27" s="218">
        <f>E27*52</f>
        <v>19240</v>
      </c>
      <c r="G27" s="272">
        <f>C27/40</f>
        <v>0.925</v>
      </c>
      <c r="H27">
        <v>30</v>
      </c>
      <c r="I27" s="289">
        <f>C27/30</f>
        <v>1.2333333333333334</v>
      </c>
      <c r="N27" s="199" t="s">
        <v>273</v>
      </c>
      <c r="O27" s="210">
        <v>37</v>
      </c>
      <c r="P27" s="127">
        <v>10</v>
      </c>
      <c r="Q27" s="218">
        <f>O27*P27</f>
        <v>370</v>
      </c>
      <c r="R27" s="218">
        <f>Q27*52</f>
        <v>19240</v>
      </c>
      <c r="S27" s="272">
        <f>O27/40</f>
        <v>0.925</v>
      </c>
      <c r="T27">
        <v>30</v>
      </c>
      <c r="U27" s="289">
        <f>O27/30</f>
        <v>1.2333333333333334</v>
      </c>
    </row>
    <row r="28" spans="1:21" ht="12.75">
      <c r="A28" s="2"/>
      <c r="B28" s="213" t="s">
        <v>274</v>
      </c>
      <c r="C28" s="264">
        <f>SUM(C26:C27)</f>
        <v>247</v>
      </c>
      <c r="D28" s="268"/>
      <c r="E28" s="270">
        <f>SUM(E26:E27)</f>
        <v>979</v>
      </c>
      <c r="F28" s="270">
        <f>SUM(F26:F27)</f>
        <v>50908</v>
      </c>
      <c r="G28" s="277">
        <f>SUM(G26:G27)</f>
        <v>6.175</v>
      </c>
      <c r="H28" s="271"/>
      <c r="I28" s="290">
        <f>SUM(I26:I27)</f>
        <v>8.233333333333334</v>
      </c>
      <c r="M28" s="2"/>
      <c r="N28" s="213" t="s">
        <v>274</v>
      </c>
      <c r="O28" s="264">
        <f>SUM(O26:O27)</f>
        <v>247</v>
      </c>
      <c r="P28" s="268"/>
      <c r="Q28" s="270">
        <f>SUM(Q26:Q27)</f>
        <v>979</v>
      </c>
      <c r="R28" s="270">
        <f>SUM(R26:R27)</f>
        <v>50908</v>
      </c>
      <c r="S28" s="277">
        <f>SUM(S26:S27)</f>
        <v>6.175</v>
      </c>
      <c r="T28" s="271"/>
      <c r="U28" s="290">
        <f>SUM(U26:U27)</f>
        <v>8.233333333333334</v>
      </c>
    </row>
    <row r="29" spans="1:21" ht="12.75">
      <c r="A29" s="2"/>
      <c r="B29" s="213"/>
      <c r="C29" s="214"/>
      <c r="D29" s="214"/>
      <c r="E29" s="219" t="s">
        <v>264</v>
      </c>
      <c r="F29" s="220">
        <v>819500</v>
      </c>
      <c r="G29" s="272"/>
      <c r="M29" s="2"/>
      <c r="N29" s="213"/>
      <c r="O29" s="214"/>
      <c r="P29" s="214"/>
      <c r="Q29" s="219" t="s">
        <v>264</v>
      </c>
      <c r="R29" s="220">
        <v>819500</v>
      </c>
      <c r="S29" s="272"/>
      <c r="U29" s="185"/>
    </row>
    <row r="30" spans="1:21" ht="12.75">
      <c r="A30" s="2"/>
      <c r="B30" s="213"/>
      <c r="C30" s="214"/>
      <c r="D30" s="214"/>
      <c r="E30" s="221" t="s">
        <v>275</v>
      </c>
      <c r="F30" s="256">
        <f>F28/F29</f>
        <v>0.062120805369127514</v>
      </c>
      <c r="G30" s="272"/>
      <c r="M30" s="2"/>
      <c r="N30" s="213"/>
      <c r="O30" s="214"/>
      <c r="P30" s="214"/>
      <c r="Q30" s="221" t="s">
        <v>275</v>
      </c>
      <c r="R30" s="256">
        <f>R28/R29</f>
        <v>0.062120805369127514</v>
      </c>
      <c r="S30" s="272"/>
      <c r="U30" s="185"/>
    </row>
    <row r="31" spans="7:21" ht="12.75">
      <c r="G31" s="272"/>
      <c r="S31" s="272"/>
      <c r="U31" s="185"/>
    </row>
    <row r="32" spans="1:21" ht="15.75">
      <c r="A32" s="3" t="s">
        <v>326</v>
      </c>
      <c r="B32" s="2"/>
      <c r="C32" s="211" t="s">
        <v>257</v>
      </c>
      <c r="D32" s="211" t="s">
        <v>258</v>
      </c>
      <c r="E32" s="211" t="s">
        <v>259</v>
      </c>
      <c r="F32" s="211" t="s">
        <v>267</v>
      </c>
      <c r="G32" s="273" t="s">
        <v>261</v>
      </c>
      <c r="H32" s="2"/>
      <c r="I32" s="273" t="s">
        <v>330</v>
      </c>
      <c r="M32" s="3" t="s">
        <v>326</v>
      </c>
      <c r="N32" s="2"/>
      <c r="O32" s="211" t="s">
        <v>257</v>
      </c>
      <c r="P32" s="211" t="s">
        <v>258</v>
      </c>
      <c r="Q32" s="211" t="s">
        <v>259</v>
      </c>
      <c r="R32" s="211" t="s">
        <v>267</v>
      </c>
      <c r="S32" s="273" t="s">
        <v>261</v>
      </c>
      <c r="T32" s="2"/>
      <c r="U32" s="273" t="s">
        <v>330</v>
      </c>
    </row>
    <row r="33" spans="2:21" ht="12.75">
      <c r="B33" s="222" t="s">
        <v>276</v>
      </c>
      <c r="C33" s="223">
        <v>8</v>
      </c>
      <c r="D33" s="224">
        <v>25</v>
      </c>
      <c r="E33" s="225">
        <f>C33*D33</f>
        <v>200</v>
      </c>
      <c r="F33" s="225">
        <f>E33*52</f>
        <v>10400</v>
      </c>
      <c r="G33" s="272">
        <f>C33/40</f>
        <v>0.2</v>
      </c>
      <c r="H33" s="226">
        <v>8</v>
      </c>
      <c r="I33" s="185">
        <v>1</v>
      </c>
      <c r="N33" s="222" t="s">
        <v>276</v>
      </c>
      <c r="O33" s="223">
        <v>8</v>
      </c>
      <c r="P33" s="224">
        <v>25</v>
      </c>
      <c r="Q33" s="225">
        <f>O33*P33</f>
        <v>200</v>
      </c>
      <c r="R33" s="225">
        <f>Q33*52</f>
        <v>10400</v>
      </c>
      <c r="S33" s="272">
        <f>O33/40</f>
        <v>0.2</v>
      </c>
      <c r="T33" s="226">
        <v>8</v>
      </c>
      <c r="U33" s="185">
        <v>1</v>
      </c>
    </row>
    <row r="34" spans="2:21" ht="12.75">
      <c r="B34" s="213" t="s">
        <v>277</v>
      </c>
      <c r="C34" s="264">
        <f>SUM(C33)</f>
        <v>8</v>
      </c>
      <c r="D34" s="282">
        <v>25</v>
      </c>
      <c r="E34" s="287">
        <f>C34*D34</f>
        <v>200</v>
      </c>
      <c r="F34" s="287">
        <f>E34*52</f>
        <v>10400</v>
      </c>
      <c r="G34" s="277">
        <f>C34/40</f>
        <v>0.2</v>
      </c>
      <c r="H34" s="288"/>
      <c r="I34" s="291">
        <f>SUM(I33)</f>
        <v>1</v>
      </c>
      <c r="N34" s="213" t="s">
        <v>277</v>
      </c>
      <c r="O34" s="264">
        <f>SUM(O33)</f>
        <v>8</v>
      </c>
      <c r="P34" s="282">
        <v>25</v>
      </c>
      <c r="Q34" s="287">
        <f>O34*P34</f>
        <v>200</v>
      </c>
      <c r="R34" s="287">
        <f>Q34*52</f>
        <v>10400</v>
      </c>
      <c r="S34" s="277">
        <f>O34/40</f>
        <v>0.2</v>
      </c>
      <c r="T34" s="288"/>
      <c r="U34" s="291">
        <f>SUM(U33)</f>
        <v>1</v>
      </c>
    </row>
    <row r="35" spans="2:21" ht="12.75">
      <c r="B35" s="2" t="s">
        <v>278</v>
      </c>
      <c r="C35" s="286"/>
      <c r="D35" s="283"/>
      <c r="E35" s="283" t="s">
        <v>264</v>
      </c>
      <c r="F35" s="284">
        <v>819500</v>
      </c>
      <c r="G35" s="285"/>
      <c r="H35" s="263"/>
      <c r="I35" s="292"/>
      <c r="N35" s="2" t="s">
        <v>278</v>
      </c>
      <c r="O35" s="286"/>
      <c r="P35" s="283"/>
      <c r="Q35" s="283" t="s">
        <v>264</v>
      </c>
      <c r="R35" s="284">
        <v>819500</v>
      </c>
      <c r="S35" s="285"/>
      <c r="T35" s="263"/>
      <c r="U35" s="292"/>
    </row>
    <row r="36" spans="2:21" ht="12.75">
      <c r="B36" s="213"/>
      <c r="C36" s="2"/>
      <c r="D36" s="202"/>
      <c r="E36" s="227" t="s">
        <v>279</v>
      </c>
      <c r="F36" s="279">
        <f>F33/F35</f>
        <v>0.012690665039658329</v>
      </c>
      <c r="G36" s="272"/>
      <c r="N36" s="213"/>
      <c r="O36" s="2"/>
      <c r="P36" s="202"/>
      <c r="Q36" s="227" t="s">
        <v>279</v>
      </c>
      <c r="R36" s="279">
        <f>R33/R35</f>
        <v>0.012690665039658329</v>
      </c>
      <c r="S36" s="272"/>
      <c r="U36" s="185"/>
    </row>
    <row r="37" spans="2:21" ht="12.75">
      <c r="B37" s="213"/>
      <c r="C37" s="2"/>
      <c r="D37" s="202"/>
      <c r="E37" s="202"/>
      <c r="F37" s="202"/>
      <c r="G37" s="272"/>
      <c r="N37" s="213"/>
      <c r="O37" s="2"/>
      <c r="P37" s="202"/>
      <c r="Q37" s="202"/>
      <c r="R37" s="202"/>
      <c r="S37" s="272"/>
      <c r="U37" s="185"/>
    </row>
    <row r="38" spans="7:21" ht="13.5" thickBot="1">
      <c r="G38" s="272"/>
      <c r="S38" s="272"/>
      <c r="U38" s="185"/>
    </row>
    <row r="39" spans="3:21" ht="13.5" thickBot="1">
      <c r="C39" s="126"/>
      <c r="D39" s="126"/>
      <c r="E39" s="228" t="s">
        <v>280</v>
      </c>
      <c r="F39" s="229">
        <f>F12+F21+F28+F33</f>
        <v>306228</v>
      </c>
      <c r="G39" s="272"/>
      <c r="O39" s="126"/>
      <c r="P39" s="126"/>
      <c r="Q39" s="228" t="s">
        <v>280</v>
      </c>
      <c r="R39" s="229">
        <f>R12+R21+R28+R33</f>
        <v>270868</v>
      </c>
      <c r="S39" s="272"/>
      <c r="U39" s="185"/>
    </row>
    <row r="40" spans="5:21" ht="12.75">
      <c r="E40" s="213" t="s">
        <v>281</v>
      </c>
      <c r="F40" s="230">
        <f>F39/F$14</f>
        <v>0.3736766320927395</v>
      </c>
      <c r="G40" s="272"/>
      <c r="Q40" s="213" t="s">
        <v>281</v>
      </c>
      <c r="R40" s="230">
        <f>R39/R$14</f>
        <v>0.33052837095790116</v>
      </c>
      <c r="S40" s="272"/>
      <c r="U40" s="185"/>
    </row>
    <row r="41" spans="5:21" ht="12.75">
      <c r="E41" s="213"/>
      <c r="F41" s="230"/>
      <c r="G41" s="273" t="s">
        <v>261</v>
      </c>
      <c r="Q41" s="213"/>
      <c r="R41" s="230"/>
      <c r="S41" s="273" t="s">
        <v>261</v>
      </c>
      <c r="U41" s="185"/>
    </row>
    <row r="42" spans="5:21" ht="12.75">
      <c r="E42" s="213" t="s">
        <v>328</v>
      </c>
      <c r="G42" s="278">
        <f>G21+G28+G34+G12</f>
        <v>13.625</v>
      </c>
      <c r="Q42" s="213" t="s">
        <v>328</v>
      </c>
      <c r="S42" s="278">
        <f>S21+S28+S34+S12</f>
        <v>12.625</v>
      </c>
      <c r="U42" s="185"/>
    </row>
    <row r="43" spans="9:21" ht="12.75">
      <c r="I43" s="273" t="s">
        <v>330</v>
      </c>
      <c r="S43" s="185"/>
      <c r="U43" s="273" t="s">
        <v>330</v>
      </c>
    </row>
    <row r="44" spans="5:21" s="134" customFormat="1" ht="15.75">
      <c r="E44" s="213" t="s">
        <v>331</v>
      </c>
      <c r="G44" s="280"/>
      <c r="H44" s="280"/>
      <c r="I44" s="278">
        <f>I21+I28+I34+I12</f>
        <v>18.900000000000002</v>
      </c>
      <c r="K44" s="297"/>
      <c r="Q44" s="213" t="s">
        <v>331</v>
      </c>
      <c r="S44" s="280"/>
      <c r="T44" s="280"/>
      <c r="U44" s="278">
        <f>U21+U28+U34+U12</f>
        <v>17.56666666666667</v>
      </c>
    </row>
    <row r="45" spans="7:21" s="134" customFormat="1" ht="15.75">
      <c r="G45" s="280"/>
      <c r="H45" s="280"/>
      <c r="I45" s="168"/>
      <c r="K45" s="297"/>
      <c r="S45" s="280"/>
      <c r="T45" s="280"/>
      <c r="U45" s="168"/>
    </row>
    <row r="46" spans="1:21" s="134" customFormat="1" ht="15.75">
      <c r="A46" s="280"/>
      <c r="B46" s="280"/>
      <c r="C46" s="280"/>
      <c r="D46" s="281"/>
      <c r="E46" s="280"/>
      <c r="F46" s="280"/>
      <c r="G46" s="280"/>
      <c r="H46" s="280"/>
      <c r="I46" s="168"/>
      <c r="K46" s="297"/>
      <c r="M46" s="280"/>
      <c r="N46" s="280"/>
      <c r="O46" s="280"/>
      <c r="P46" s="281"/>
      <c r="Q46" s="280"/>
      <c r="R46" s="280"/>
      <c r="S46" s="280"/>
      <c r="T46" s="280"/>
      <c r="U46" s="168"/>
    </row>
    <row r="47" spans="2:21" ht="15.75">
      <c r="B47" s="280" t="s">
        <v>444</v>
      </c>
      <c r="C47" s="280"/>
      <c r="D47" s="280"/>
      <c r="E47" s="280"/>
      <c r="F47" s="280"/>
      <c r="G47" s="280"/>
      <c r="N47" s="280" t="s">
        <v>445</v>
      </c>
      <c r="O47" s="280"/>
      <c r="P47" s="280"/>
      <c r="Q47" s="280"/>
      <c r="R47" s="280"/>
      <c r="S47" s="280"/>
      <c r="U47" s="185"/>
    </row>
    <row r="48" spans="2:21" ht="15.75">
      <c r="B48" s="280" t="s">
        <v>443</v>
      </c>
      <c r="C48" s="280"/>
      <c r="D48" s="280"/>
      <c r="E48" s="280"/>
      <c r="F48" s="280"/>
      <c r="G48" s="280"/>
      <c r="N48" s="280" t="s">
        <v>446</v>
      </c>
      <c r="O48" s="280"/>
      <c r="P48" s="280"/>
      <c r="Q48" s="280"/>
      <c r="R48" s="280"/>
      <c r="S48" s="280"/>
      <c r="U48" s="185"/>
    </row>
    <row r="49" spans="2:21" ht="15.75">
      <c r="B49" s="280" t="s">
        <v>329</v>
      </c>
      <c r="C49" s="280"/>
      <c r="D49" s="280"/>
      <c r="E49" s="281"/>
      <c r="F49" s="280"/>
      <c r="G49" s="280"/>
      <c r="N49" s="280" t="s">
        <v>329</v>
      </c>
      <c r="O49" s="280"/>
      <c r="P49" s="280"/>
      <c r="Q49" s="281"/>
      <c r="R49" s="280"/>
      <c r="S49" s="280"/>
      <c r="U49" s="185"/>
    </row>
    <row r="50" spans="19:21" ht="12.75">
      <c r="S50" s="185"/>
      <c r="U50" s="185"/>
    </row>
    <row r="51" spans="2:21" ht="12.75">
      <c r="B51" s="131" t="s">
        <v>332</v>
      </c>
      <c r="C51" s="131"/>
      <c r="D51" s="131"/>
      <c r="E51" s="131"/>
      <c r="F51" s="131"/>
      <c r="G51" s="131"/>
      <c r="N51" s="131" t="s">
        <v>332</v>
      </c>
      <c r="O51" s="131"/>
      <c r="P51" s="131"/>
      <c r="Q51" s="131"/>
      <c r="R51" s="131"/>
      <c r="S51" s="131"/>
      <c r="U51" s="185"/>
    </row>
    <row r="52" spans="2:21" ht="12.75">
      <c r="B52" s="131" t="s">
        <v>318</v>
      </c>
      <c r="C52" s="131"/>
      <c r="D52" s="131"/>
      <c r="E52" s="131"/>
      <c r="F52" s="131"/>
      <c r="G52" s="131"/>
      <c r="N52" s="131" t="s">
        <v>318</v>
      </c>
      <c r="O52" s="131"/>
      <c r="P52" s="131"/>
      <c r="Q52" s="131"/>
      <c r="R52" s="131"/>
      <c r="S52" s="131"/>
      <c r="U52" s="185"/>
    </row>
    <row r="53" spans="2:21" ht="12.75">
      <c r="B53" s="131" t="s">
        <v>447</v>
      </c>
      <c r="C53" s="131"/>
      <c r="D53" s="131"/>
      <c r="E53" s="131"/>
      <c r="F53" s="131"/>
      <c r="G53" s="131"/>
      <c r="N53" s="131"/>
      <c r="O53" s="131"/>
      <c r="P53" s="131"/>
      <c r="Q53" s="131"/>
      <c r="R53" s="131"/>
      <c r="S53" s="131"/>
      <c r="U53" s="185"/>
    </row>
    <row r="54" spans="2:21" ht="12.75">
      <c r="B54" s="298" t="s">
        <v>336</v>
      </c>
      <c r="N54" s="298" t="s">
        <v>336</v>
      </c>
      <c r="S54" s="185"/>
      <c r="U54" s="185"/>
    </row>
    <row r="55" spans="2:21" ht="13.5" thickBot="1">
      <c r="B55" s="302" t="s">
        <v>319</v>
      </c>
      <c r="C55" s="299" t="s">
        <v>334</v>
      </c>
      <c r="D55" s="262"/>
      <c r="E55" s="301" t="s">
        <v>333</v>
      </c>
      <c r="F55" s="301" t="s">
        <v>257</v>
      </c>
      <c r="G55" s="263"/>
      <c r="H55" s="292"/>
      <c r="N55" s="302" t="s">
        <v>319</v>
      </c>
      <c r="O55" s="299" t="s">
        <v>334</v>
      </c>
      <c r="P55" s="262"/>
      <c r="Q55" s="301" t="s">
        <v>333</v>
      </c>
      <c r="R55" s="301" t="s">
        <v>257</v>
      </c>
      <c r="S55" s="263"/>
      <c r="T55" s="292"/>
      <c r="U55" s="185"/>
    </row>
    <row r="56" spans="2:21" ht="12.75">
      <c r="B56" s="302" t="s">
        <v>320</v>
      </c>
      <c r="C56" s="263" t="s">
        <v>321</v>
      </c>
      <c r="D56" s="263"/>
      <c r="E56" s="263">
        <v>10</v>
      </c>
      <c r="F56" s="292">
        <v>70</v>
      </c>
      <c r="G56" s="263"/>
      <c r="H56" s="292"/>
      <c r="N56" s="302" t="s">
        <v>320</v>
      </c>
      <c r="O56" s="263" t="s">
        <v>321</v>
      </c>
      <c r="P56" s="263"/>
      <c r="Q56" s="263">
        <v>10</v>
      </c>
      <c r="R56" s="292">
        <v>70</v>
      </c>
      <c r="S56" s="263"/>
      <c r="T56" s="292"/>
      <c r="U56" s="185"/>
    </row>
    <row r="57" spans="2:21" ht="15" thickBot="1">
      <c r="B57" s="300"/>
      <c r="C57" s="303" t="s">
        <v>323</v>
      </c>
      <c r="D57" s="303"/>
      <c r="E57" s="303">
        <v>13</v>
      </c>
      <c r="F57" s="304">
        <v>91</v>
      </c>
      <c r="G57" s="292" t="s">
        <v>433</v>
      </c>
      <c r="H57" s="292"/>
      <c r="N57" s="300"/>
      <c r="O57" s="303" t="s">
        <v>323</v>
      </c>
      <c r="P57" s="303"/>
      <c r="Q57" s="303">
        <v>13</v>
      </c>
      <c r="R57" s="304">
        <v>91</v>
      </c>
      <c r="S57" s="292" t="s">
        <v>322</v>
      </c>
      <c r="T57" s="292"/>
      <c r="U57" s="185"/>
    </row>
    <row r="58" spans="2:21" ht="13.5">
      <c r="B58" s="257"/>
      <c r="C58" s="257"/>
      <c r="D58" s="257"/>
      <c r="E58" s="257"/>
      <c r="F58" s="257"/>
      <c r="G58" s="185" t="s">
        <v>335</v>
      </c>
      <c r="N58" s="257"/>
      <c r="O58" s="257"/>
      <c r="P58" s="257"/>
      <c r="Q58" s="257"/>
      <c r="R58" s="257"/>
      <c r="S58" s="185" t="s">
        <v>335</v>
      </c>
      <c r="U58" s="185"/>
    </row>
    <row r="59" ht="12.75">
      <c r="S59" s="185"/>
    </row>
    <row r="60" spans="7:9" s="502" customFormat="1" ht="5.25" customHeight="1">
      <c r="G60" s="503"/>
      <c r="I60" s="503"/>
    </row>
    <row r="61" spans="1:13" ht="15.75">
      <c r="A61" s="251"/>
      <c r="H61" s="4"/>
      <c r="M61" s="251"/>
    </row>
    <row r="62" spans="1:14" ht="15.75">
      <c r="A62" s="251"/>
      <c r="B62" s="4"/>
      <c r="G62" s="251"/>
      <c r="H62" s="4"/>
      <c r="M62" s="251"/>
      <c r="N62" s="4"/>
    </row>
    <row r="63" spans="1:14" ht="15.75">
      <c r="A63" s="251"/>
      <c r="B63" s="4"/>
      <c r="G63" s="251"/>
      <c r="H63" s="4"/>
      <c r="M63" s="251"/>
      <c r="N63" s="4"/>
    </row>
    <row r="64" spans="1:17" ht="12.75">
      <c r="A64" s="112" t="s">
        <v>339</v>
      </c>
      <c r="B64" s="32"/>
      <c r="C64" s="32"/>
      <c r="D64" s="32"/>
      <c r="E64" s="32"/>
      <c r="M64" s="112" t="s">
        <v>339</v>
      </c>
      <c r="N64" s="32"/>
      <c r="O64" s="32"/>
      <c r="P64" s="32"/>
      <c r="Q64" s="32"/>
    </row>
    <row r="65" spans="1:16" ht="12.75">
      <c r="A65" s="226" t="s">
        <v>460</v>
      </c>
      <c r="B65" s="125"/>
      <c r="C65" s="125"/>
      <c r="D65" s="125"/>
      <c r="M65" s="226" t="s">
        <v>480</v>
      </c>
      <c r="N65" s="125"/>
      <c r="O65" s="125"/>
      <c r="P65" s="125"/>
    </row>
    <row r="66" spans="1:21" ht="15.75">
      <c r="A66" s="305" t="s">
        <v>481</v>
      </c>
      <c r="G66" s="272"/>
      <c r="M66" s="305" t="s">
        <v>482</v>
      </c>
      <c r="N66" s="130"/>
      <c r="S66" s="272"/>
      <c r="U66" s="185"/>
    </row>
    <row r="67" spans="6:21" ht="12.75">
      <c r="F67" s="210"/>
      <c r="G67" s="272"/>
      <c r="R67" s="210"/>
      <c r="S67" s="272"/>
      <c r="U67" s="185"/>
    </row>
    <row r="68" spans="1:21" ht="15.75">
      <c r="A68" s="3" t="s">
        <v>42</v>
      </c>
      <c r="B68" s="2"/>
      <c r="C68" s="211" t="s">
        <v>257</v>
      </c>
      <c r="D68" s="211" t="s">
        <v>258</v>
      </c>
      <c r="E68" s="211" t="s">
        <v>259</v>
      </c>
      <c r="F68" s="211" t="s">
        <v>260</v>
      </c>
      <c r="G68" s="273" t="s">
        <v>261</v>
      </c>
      <c r="H68" s="2" t="s">
        <v>327</v>
      </c>
      <c r="I68" s="273" t="s">
        <v>330</v>
      </c>
      <c r="M68" s="3" t="s">
        <v>42</v>
      </c>
      <c r="N68" s="2"/>
      <c r="O68" s="211" t="s">
        <v>257</v>
      </c>
      <c r="P68" s="211" t="s">
        <v>258</v>
      </c>
      <c r="Q68" s="211" t="s">
        <v>259</v>
      </c>
      <c r="R68" s="211" t="s">
        <v>260</v>
      </c>
      <c r="S68" s="273" t="s">
        <v>261</v>
      </c>
      <c r="T68" s="2" t="s">
        <v>327</v>
      </c>
      <c r="U68" s="273" t="s">
        <v>330</v>
      </c>
    </row>
    <row r="69" spans="1:21" ht="12.75">
      <c r="A69" s="199"/>
      <c r="B69" s="199" t="s">
        <v>324</v>
      </c>
      <c r="C69" s="210">
        <v>40</v>
      </c>
      <c r="D69" s="127">
        <v>20</v>
      </c>
      <c r="E69" s="82">
        <f>C69*D69</f>
        <v>800</v>
      </c>
      <c r="F69" s="212">
        <f>E69*52</f>
        <v>41600</v>
      </c>
      <c r="G69" s="274">
        <f>C69/40</f>
        <v>1</v>
      </c>
      <c r="H69">
        <v>40</v>
      </c>
      <c r="I69" s="289">
        <f>C69/30</f>
        <v>1.3333333333333333</v>
      </c>
      <c r="M69" s="199"/>
      <c r="N69" s="199" t="s">
        <v>324</v>
      </c>
      <c r="O69" s="210">
        <v>40</v>
      </c>
      <c r="P69" s="127">
        <v>18</v>
      </c>
      <c r="Q69" s="82">
        <f>O69*P69</f>
        <v>720</v>
      </c>
      <c r="R69" s="212">
        <f>Q69*52</f>
        <v>37440</v>
      </c>
      <c r="S69" s="274">
        <f>O69/40</f>
        <v>1</v>
      </c>
      <c r="T69">
        <v>40</v>
      </c>
      <c r="U69" s="289">
        <f>O69/30</f>
        <v>1.3333333333333333</v>
      </c>
    </row>
    <row r="70" spans="1:23" ht="12.75">
      <c r="A70" s="258"/>
      <c r="B70" s="258" t="s">
        <v>262</v>
      </c>
      <c r="C70" s="259">
        <v>40</v>
      </c>
      <c r="D70" s="293">
        <v>20</v>
      </c>
      <c r="E70" s="129">
        <f>C70*D70</f>
        <v>800</v>
      </c>
      <c r="F70" s="294">
        <f>E70*52</f>
        <v>41600</v>
      </c>
      <c r="G70" s="295">
        <f>C70/40</f>
        <v>1</v>
      </c>
      <c r="H70" s="250">
        <v>40</v>
      </c>
      <c r="I70" s="289">
        <f>C70/30</f>
        <v>1.3333333333333333</v>
      </c>
      <c r="J70" s="250"/>
      <c r="M70" s="258"/>
      <c r="N70" s="258"/>
      <c r="O70" s="259"/>
      <c r="P70" s="293"/>
      <c r="Q70" s="129"/>
      <c r="R70" s="294"/>
      <c r="S70" s="295"/>
      <c r="T70" s="250"/>
      <c r="U70" s="289"/>
      <c r="V70" s="250"/>
      <c r="W70" s="250"/>
    </row>
    <row r="71" spans="1:21" ht="12.75">
      <c r="A71" s="199"/>
      <c r="B71" s="199" t="s">
        <v>341</v>
      </c>
      <c r="C71" s="252">
        <v>40</v>
      </c>
      <c r="D71" s="253">
        <v>18</v>
      </c>
      <c r="E71" s="254">
        <f>C71*D71</f>
        <v>720</v>
      </c>
      <c r="F71" s="255">
        <f>E71*52</f>
        <v>37440</v>
      </c>
      <c r="G71" s="275">
        <f>C71/40</f>
        <v>1</v>
      </c>
      <c r="H71" s="263">
        <v>40</v>
      </c>
      <c r="I71" s="289">
        <f>C71/30</f>
        <v>1.3333333333333333</v>
      </c>
      <c r="M71" s="199"/>
      <c r="N71" s="199" t="s">
        <v>341</v>
      </c>
      <c r="O71" s="252">
        <v>40</v>
      </c>
      <c r="P71" s="253">
        <v>15</v>
      </c>
      <c r="Q71" s="254">
        <f>O71*P71</f>
        <v>600</v>
      </c>
      <c r="R71" s="255">
        <f>Q71*52</f>
        <v>31200</v>
      </c>
      <c r="S71" s="275">
        <f>O71/40</f>
        <v>1</v>
      </c>
      <c r="T71" s="263">
        <v>40</v>
      </c>
      <c r="U71" s="306">
        <f>O71/30</f>
        <v>1.3333333333333333</v>
      </c>
    </row>
    <row r="72" spans="1:21" ht="12.75">
      <c r="A72" s="199"/>
      <c r="B72" s="213" t="s">
        <v>263</v>
      </c>
      <c r="C72" s="264">
        <f>SUM(C69:C71)</f>
        <v>120</v>
      </c>
      <c r="D72" s="265"/>
      <c r="E72" s="266">
        <f>SUM(E69:E71)</f>
        <v>2320</v>
      </c>
      <c r="F72" s="267">
        <f>SUM(F69:F71)</f>
        <v>120640</v>
      </c>
      <c r="G72" s="276">
        <f>SUM(G69:G71)</f>
        <v>3</v>
      </c>
      <c r="H72" s="271"/>
      <c r="I72" s="290">
        <f>SUM(I69:I71)</f>
        <v>4</v>
      </c>
      <c r="M72" s="199"/>
      <c r="N72" s="213" t="s">
        <v>263</v>
      </c>
      <c r="O72" s="264">
        <f>SUM(O69:O71)</f>
        <v>80</v>
      </c>
      <c r="P72" s="265"/>
      <c r="Q72" s="266">
        <f>SUM(Q69:Q71)</f>
        <v>1320</v>
      </c>
      <c r="R72" s="267">
        <f>SUM(R69:R71)</f>
        <v>68640</v>
      </c>
      <c r="S72" s="276">
        <f>SUM(S69:S71)</f>
        <v>2</v>
      </c>
      <c r="T72" s="271"/>
      <c r="U72" s="290">
        <f>SUM(U69:U71)</f>
        <v>2.6666666666666665</v>
      </c>
    </row>
    <row r="73" spans="4:21" ht="12.75">
      <c r="D73" s="215"/>
      <c r="E73" s="119"/>
      <c r="G73" s="272"/>
      <c r="P73" s="215"/>
      <c r="Q73" s="119"/>
      <c r="S73" s="272"/>
      <c r="U73" s="185"/>
    </row>
    <row r="74" spans="5:21" ht="12.75">
      <c r="E74" s="213" t="s">
        <v>264</v>
      </c>
      <c r="F74" s="220">
        <v>670500</v>
      </c>
      <c r="G74" s="272"/>
      <c r="Q74" s="213" t="s">
        <v>264</v>
      </c>
      <c r="R74" s="220">
        <v>670500</v>
      </c>
      <c r="S74" s="272"/>
      <c r="U74" s="185"/>
    </row>
    <row r="75" spans="5:21" ht="12.75">
      <c r="E75" s="213" t="s">
        <v>265</v>
      </c>
      <c r="F75" s="256">
        <f>F72/F74</f>
        <v>0.1799254287844892</v>
      </c>
      <c r="G75" s="272"/>
      <c r="Q75" s="213" t="s">
        <v>265</v>
      </c>
      <c r="R75" s="256">
        <f>R72/R74</f>
        <v>0.10237136465324385</v>
      </c>
      <c r="S75" s="272"/>
      <c r="U75" s="185"/>
    </row>
    <row r="76" spans="3:21" ht="12.75">
      <c r="C76" s="210"/>
      <c r="G76" s="272"/>
      <c r="O76" s="210"/>
      <c r="S76" s="272"/>
      <c r="U76" s="185"/>
    </row>
    <row r="77" spans="1:21" ht="15.75">
      <c r="A77" s="3" t="s">
        <v>266</v>
      </c>
      <c r="B77" s="2"/>
      <c r="C77" s="211" t="s">
        <v>257</v>
      </c>
      <c r="D77" s="211" t="s">
        <v>258</v>
      </c>
      <c r="E77" s="211" t="s">
        <v>259</v>
      </c>
      <c r="F77" s="211" t="s">
        <v>267</v>
      </c>
      <c r="G77" s="273" t="s">
        <v>261</v>
      </c>
      <c r="H77" s="2" t="s">
        <v>327</v>
      </c>
      <c r="I77" s="273" t="s">
        <v>330</v>
      </c>
      <c r="M77" s="3" t="s">
        <v>266</v>
      </c>
      <c r="N77" s="2"/>
      <c r="O77" s="211" t="s">
        <v>257</v>
      </c>
      <c r="P77" s="211" t="s">
        <v>258</v>
      </c>
      <c r="Q77" s="211" t="s">
        <v>259</v>
      </c>
      <c r="R77" s="211" t="s">
        <v>267</v>
      </c>
      <c r="S77" s="273" t="s">
        <v>261</v>
      </c>
      <c r="T77" s="2" t="s">
        <v>327</v>
      </c>
      <c r="U77" s="273" t="s">
        <v>330</v>
      </c>
    </row>
    <row r="78" spans="2:21" ht="12.75">
      <c r="B78" s="199" t="s">
        <v>317</v>
      </c>
      <c r="C78" s="210">
        <v>70</v>
      </c>
      <c r="D78" s="216">
        <v>12</v>
      </c>
      <c r="E78" s="217">
        <f>C78*D78</f>
        <v>840</v>
      </c>
      <c r="F78" s="218">
        <f>E78*52</f>
        <v>43680</v>
      </c>
      <c r="G78" s="274">
        <f>C78/40</f>
        <v>1.75</v>
      </c>
      <c r="H78">
        <v>30</v>
      </c>
      <c r="I78" s="289">
        <f>C78/30</f>
        <v>2.3333333333333335</v>
      </c>
      <c r="N78" s="199" t="s">
        <v>317</v>
      </c>
      <c r="O78" s="210">
        <v>70</v>
      </c>
      <c r="P78" s="216">
        <v>11</v>
      </c>
      <c r="Q78" s="217">
        <f>O78*P78</f>
        <v>770</v>
      </c>
      <c r="R78" s="218">
        <f>Q78*52</f>
        <v>40040</v>
      </c>
      <c r="S78" s="274">
        <f>O78/40</f>
        <v>1.75</v>
      </c>
      <c r="T78">
        <v>30</v>
      </c>
      <c r="U78" s="289">
        <f>O78/30</f>
        <v>2.3333333333333335</v>
      </c>
    </row>
    <row r="79" spans="2:21" ht="12.75">
      <c r="B79" s="199" t="s">
        <v>268</v>
      </c>
      <c r="C79" s="210">
        <v>70</v>
      </c>
      <c r="D79" s="216">
        <v>11</v>
      </c>
      <c r="E79" s="217">
        <f>C79*D79</f>
        <v>770</v>
      </c>
      <c r="F79" s="218">
        <f>E79*52</f>
        <v>40040</v>
      </c>
      <c r="G79" s="274">
        <f>C79/40</f>
        <v>1.75</v>
      </c>
      <c r="H79">
        <v>30</v>
      </c>
      <c r="I79" s="289">
        <f>C79/30</f>
        <v>2.3333333333333335</v>
      </c>
      <c r="N79" s="199" t="s">
        <v>479</v>
      </c>
      <c r="O79" s="210">
        <v>70</v>
      </c>
      <c r="P79" s="216">
        <v>10</v>
      </c>
      <c r="Q79" s="217">
        <f>O79*P79</f>
        <v>700</v>
      </c>
      <c r="R79" s="218">
        <f>Q79*52</f>
        <v>36400</v>
      </c>
      <c r="S79" s="274">
        <f>O79/40</f>
        <v>1.75</v>
      </c>
      <c r="T79">
        <v>30</v>
      </c>
      <c r="U79" s="289">
        <f>O79/30</f>
        <v>2.3333333333333335</v>
      </c>
    </row>
    <row r="80" spans="2:21" ht="12.75">
      <c r="B80" s="199" t="s">
        <v>269</v>
      </c>
      <c r="C80" s="210">
        <v>30</v>
      </c>
      <c r="D80" s="127">
        <v>11</v>
      </c>
      <c r="E80" s="217">
        <f>C80*D80</f>
        <v>330</v>
      </c>
      <c r="F80" s="218">
        <f>E80*52</f>
        <v>17160</v>
      </c>
      <c r="G80" s="272">
        <f>C80/40</f>
        <v>0.75</v>
      </c>
      <c r="H80">
        <v>30</v>
      </c>
      <c r="I80" s="289">
        <f>C80/30</f>
        <v>1</v>
      </c>
      <c r="N80" s="199" t="s">
        <v>269</v>
      </c>
      <c r="O80" s="210">
        <v>30</v>
      </c>
      <c r="P80" s="127">
        <v>10</v>
      </c>
      <c r="Q80" s="217">
        <f>O80*P80</f>
        <v>300</v>
      </c>
      <c r="R80" s="218">
        <f>Q80*52</f>
        <v>15600</v>
      </c>
      <c r="S80" s="272">
        <f>O80/40</f>
        <v>0.75</v>
      </c>
      <c r="T80">
        <v>30</v>
      </c>
      <c r="U80" s="289">
        <f>O80/30</f>
        <v>1</v>
      </c>
    </row>
    <row r="81" spans="2:21" ht="12.75">
      <c r="B81" s="213" t="s">
        <v>270</v>
      </c>
      <c r="C81" s="264">
        <f>SUM(C78:C80)</f>
        <v>170</v>
      </c>
      <c r="D81" s="268"/>
      <c r="E81" s="269">
        <f>SUM(E78:E80)</f>
        <v>1940</v>
      </c>
      <c r="F81" s="270">
        <f>SUM(F78:F80)</f>
        <v>100880</v>
      </c>
      <c r="G81" s="277">
        <f>C81/40</f>
        <v>4.25</v>
      </c>
      <c r="H81" s="271"/>
      <c r="I81" s="290">
        <f>SUM(I78:I80)</f>
        <v>5.666666666666667</v>
      </c>
      <c r="N81" s="213" t="s">
        <v>270</v>
      </c>
      <c r="O81" s="264">
        <f>SUM(O78:O80)</f>
        <v>170</v>
      </c>
      <c r="P81" s="268"/>
      <c r="Q81" s="269">
        <f>SUM(Q78:Q80)</f>
        <v>1770</v>
      </c>
      <c r="R81" s="270">
        <f>SUM(R78:R80)</f>
        <v>92040</v>
      </c>
      <c r="S81" s="277">
        <f>O81/40</f>
        <v>4.25</v>
      </c>
      <c r="T81" s="271"/>
      <c r="U81" s="290">
        <f>SUM(U78:U80)</f>
        <v>5.666666666666667</v>
      </c>
    </row>
    <row r="82" spans="2:21" ht="12.75">
      <c r="B82" s="213"/>
      <c r="C82" s="214"/>
      <c r="D82" s="214"/>
      <c r="E82" s="219" t="s">
        <v>18</v>
      </c>
      <c r="F82" s="220">
        <v>670500</v>
      </c>
      <c r="G82" s="272"/>
      <c r="N82" s="213"/>
      <c r="O82" s="214"/>
      <c r="P82" s="214"/>
      <c r="Q82" s="219" t="s">
        <v>18</v>
      </c>
      <c r="R82" s="220">
        <v>670500</v>
      </c>
      <c r="S82" s="272"/>
      <c r="U82" s="185"/>
    </row>
    <row r="83" spans="2:21" ht="12.75">
      <c r="B83" s="213"/>
      <c r="C83" s="214"/>
      <c r="D83" s="214"/>
      <c r="E83" s="221" t="s">
        <v>271</v>
      </c>
      <c r="F83" s="256">
        <f>F81/F82</f>
        <v>0.15045488441461596</v>
      </c>
      <c r="G83" s="272"/>
      <c r="N83" s="213"/>
      <c r="O83" s="214"/>
      <c r="P83" s="214"/>
      <c r="Q83" s="221" t="s">
        <v>271</v>
      </c>
      <c r="R83" s="256">
        <f>R81/R82</f>
        <v>0.13727069351230425</v>
      </c>
      <c r="S83" s="272"/>
      <c r="U83" s="185"/>
    </row>
    <row r="84" spans="3:21" ht="12.75">
      <c r="C84" s="210"/>
      <c r="D84" s="210"/>
      <c r="E84" s="210"/>
      <c r="F84" s="210"/>
      <c r="G84" s="272"/>
      <c r="O84" s="210"/>
      <c r="P84" s="210"/>
      <c r="Q84" s="210"/>
      <c r="R84" s="210"/>
      <c r="S84" s="272"/>
      <c r="U84" s="185"/>
    </row>
    <row r="85" spans="1:21" ht="15.75">
      <c r="A85" s="3" t="s">
        <v>272</v>
      </c>
      <c r="B85" s="2"/>
      <c r="C85" s="211" t="s">
        <v>257</v>
      </c>
      <c r="D85" s="211" t="s">
        <v>258</v>
      </c>
      <c r="E85" s="211" t="s">
        <v>259</v>
      </c>
      <c r="F85" s="211" t="s">
        <v>267</v>
      </c>
      <c r="G85" s="273" t="s">
        <v>261</v>
      </c>
      <c r="H85" s="2"/>
      <c r="I85" s="273" t="s">
        <v>330</v>
      </c>
      <c r="M85" s="3" t="s">
        <v>272</v>
      </c>
      <c r="N85" s="2"/>
      <c r="O85" s="211" t="s">
        <v>257</v>
      </c>
      <c r="P85" s="211" t="s">
        <v>258</v>
      </c>
      <c r="Q85" s="211" t="s">
        <v>259</v>
      </c>
      <c r="R85" s="211" t="s">
        <v>267</v>
      </c>
      <c r="S85" s="273" t="s">
        <v>261</v>
      </c>
      <c r="T85" s="2"/>
      <c r="U85" s="273" t="s">
        <v>330</v>
      </c>
    </row>
    <row r="86" spans="2:21" ht="12.75">
      <c r="B86" s="258" t="s">
        <v>325</v>
      </c>
      <c r="C86" s="259">
        <v>210</v>
      </c>
      <c r="D86" s="260">
        <v>2.9</v>
      </c>
      <c r="E86" s="261">
        <f>C86*D86</f>
        <v>609</v>
      </c>
      <c r="F86" s="261">
        <f>E86*52</f>
        <v>31668</v>
      </c>
      <c r="G86" s="272">
        <f>C86/40</f>
        <v>5.25</v>
      </c>
      <c r="H86">
        <v>30</v>
      </c>
      <c r="I86" s="289">
        <f>C86/30</f>
        <v>7</v>
      </c>
      <c r="N86" s="512" t="s">
        <v>325</v>
      </c>
      <c r="O86" s="513">
        <v>120</v>
      </c>
      <c r="P86" s="514">
        <v>2.9</v>
      </c>
      <c r="Q86" s="515">
        <f>O86*P86</f>
        <v>348</v>
      </c>
      <c r="R86" s="515">
        <f>Q86*52</f>
        <v>18096</v>
      </c>
      <c r="S86" s="272">
        <f>O86/40</f>
        <v>3</v>
      </c>
      <c r="T86">
        <v>30</v>
      </c>
      <c r="U86" s="289">
        <f>O86/30</f>
        <v>4</v>
      </c>
    </row>
    <row r="87" spans="1:21" ht="12.75">
      <c r="A87" s="2"/>
      <c r="B87" s="213" t="s">
        <v>274</v>
      </c>
      <c r="C87" s="264">
        <f>SUM(C86:C86)</f>
        <v>210</v>
      </c>
      <c r="D87" s="268"/>
      <c r="E87" s="270">
        <f>SUM(E86:E86)</f>
        <v>609</v>
      </c>
      <c r="F87" s="270">
        <f>SUM(F86:F86)</f>
        <v>31668</v>
      </c>
      <c r="G87" s="277">
        <f>SUM(G86:G86)</f>
        <v>5.25</v>
      </c>
      <c r="H87" s="271"/>
      <c r="I87" s="290">
        <f>SUM(I86:I86)</f>
        <v>7</v>
      </c>
      <c r="M87" s="2"/>
      <c r="N87" s="213" t="s">
        <v>274</v>
      </c>
      <c r="O87" s="264">
        <f>SUM(O86:O86)</f>
        <v>120</v>
      </c>
      <c r="P87" s="268"/>
      <c r="Q87" s="270">
        <f>SUM(Q86:Q86)</f>
        <v>348</v>
      </c>
      <c r="R87" s="270">
        <f>SUM(R86:R86)</f>
        <v>18096</v>
      </c>
      <c r="S87" s="277">
        <f>SUM(S86:S86)</f>
        <v>3</v>
      </c>
      <c r="T87" s="271"/>
      <c r="U87" s="290">
        <f>SUM(U86:U86)</f>
        <v>4</v>
      </c>
    </row>
    <row r="88" spans="1:21" ht="12.75">
      <c r="A88" s="2"/>
      <c r="B88" s="213"/>
      <c r="C88" s="214"/>
      <c r="D88" s="214"/>
      <c r="E88" s="219" t="s">
        <v>264</v>
      </c>
      <c r="F88" s="220">
        <v>670500</v>
      </c>
      <c r="G88" s="272"/>
      <c r="M88" s="2"/>
      <c r="N88" s="213"/>
      <c r="O88" s="214"/>
      <c r="P88" s="214"/>
      <c r="Q88" s="219" t="s">
        <v>264</v>
      </c>
      <c r="R88" s="220">
        <v>670500</v>
      </c>
      <c r="S88" s="272"/>
      <c r="U88" s="185"/>
    </row>
    <row r="89" spans="1:21" ht="12.75">
      <c r="A89" s="2"/>
      <c r="B89" s="213"/>
      <c r="C89" s="214"/>
      <c r="D89" s="214"/>
      <c r="E89" s="221" t="s">
        <v>275</v>
      </c>
      <c r="F89" s="256">
        <f>F87/F88</f>
        <v>0.047230425055928414</v>
      </c>
      <c r="G89" s="272"/>
      <c r="M89" s="2"/>
      <c r="N89" s="213"/>
      <c r="O89" s="214"/>
      <c r="P89" s="214"/>
      <c r="Q89" s="221" t="s">
        <v>275</v>
      </c>
      <c r="R89" s="256">
        <f>R87/R88</f>
        <v>0.026988814317673377</v>
      </c>
      <c r="S89" s="272"/>
      <c r="U89" s="185"/>
    </row>
    <row r="90" spans="7:21" ht="12.75">
      <c r="G90" s="272"/>
      <c r="S90" s="272"/>
      <c r="U90" s="185"/>
    </row>
    <row r="91" spans="1:21" ht="15.75">
      <c r="A91" s="3" t="s">
        <v>326</v>
      </c>
      <c r="B91" s="2"/>
      <c r="C91" s="211" t="s">
        <v>257</v>
      </c>
      <c r="D91" s="211" t="s">
        <v>258</v>
      </c>
      <c r="E91" s="211" t="s">
        <v>259</v>
      </c>
      <c r="F91" s="211" t="s">
        <v>267</v>
      </c>
      <c r="G91" s="273" t="s">
        <v>261</v>
      </c>
      <c r="H91" s="2"/>
      <c r="I91" s="273" t="s">
        <v>330</v>
      </c>
      <c r="M91" s="3" t="s">
        <v>326</v>
      </c>
      <c r="N91" s="2"/>
      <c r="O91" s="211" t="s">
        <v>257</v>
      </c>
      <c r="P91" s="211" t="s">
        <v>258</v>
      </c>
      <c r="Q91" s="211" t="s">
        <v>259</v>
      </c>
      <c r="R91" s="211" t="s">
        <v>267</v>
      </c>
      <c r="S91" s="273" t="s">
        <v>261</v>
      </c>
      <c r="T91" s="2"/>
      <c r="U91" s="273" t="s">
        <v>330</v>
      </c>
    </row>
    <row r="92" spans="2:21" ht="12.75">
      <c r="B92" s="222" t="s">
        <v>276</v>
      </c>
      <c r="C92" s="223">
        <v>8</v>
      </c>
      <c r="D92" s="224">
        <v>25</v>
      </c>
      <c r="E92" s="225">
        <f>C92*D92</f>
        <v>200</v>
      </c>
      <c r="F92" s="225">
        <f>E92*52</f>
        <v>10400</v>
      </c>
      <c r="G92" s="272">
        <f>C92/40</f>
        <v>0.2</v>
      </c>
      <c r="H92" s="226">
        <v>8</v>
      </c>
      <c r="I92" s="185">
        <v>1</v>
      </c>
      <c r="N92" s="222" t="s">
        <v>276</v>
      </c>
      <c r="O92" s="223">
        <v>8</v>
      </c>
      <c r="P92" s="224">
        <v>25</v>
      </c>
      <c r="Q92" s="225">
        <f>O92*P92</f>
        <v>200</v>
      </c>
      <c r="R92" s="225">
        <f>Q92*52</f>
        <v>10400</v>
      </c>
      <c r="S92" s="272">
        <f>O92/40</f>
        <v>0.2</v>
      </c>
      <c r="T92" s="226">
        <v>8</v>
      </c>
      <c r="U92" s="185">
        <v>1</v>
      </c>
    </row>
    <row r="93" spans="2:21" ht="12.75">
      <c r="B93" s="213" t="s">
        <v>277</v>
      </c>
      <c r="C93" s="264">
        <f>SUM(C92)</f>
        <v>8</v>
      </c>
      <c r="D93" s="282">
        <v>25</v>
      </c>
      <c r="E93" s="287">
        <f>C93*D93</f>
        <v>200</v>
      </c>
      <c r="F93" s="287">
        <f>E93*52</f>
        <v>10400</v>
      </c>
      <c r="G93" s="277">
        <f>C93/40</f>
        <v>0.2</v>
      </c>
      <c r="H93" s="288"/>
      <c r="I93" s="291">
        <f>SUM(I92)</f>
        <v>1</v>
      </c>
      <c r="N93" s="213" t="s">
        <v>277</v>
      </c>
      <c r="O93" s="264">
        <f>SUM(O92)</f>
        <v>8</v>
      </c>
      <c r="P93" s="282">
        <v>25</v>
      </c>
      <c r="Q93" s="287">
        <f>O93*P93</f>
        <v>200</v>
      </c>
      <c r="R93" s="287">
        <f>Q93*52</f>
        <v>10400</v>
      </c>
      <c r="S93" s="277">
        <f>O93/40</f>
        <v>0.2</v>
      </c>
      <c r="T93" s="288"/>
      <c r="U93" s="291">
        <f>SUM(U92)</f>
        <v>1</v>
      </c>
    </row>
    <row r="94" spans="2:21" ht="12.75">
      <c r="B94" s="2" t="s">
        <v>278</v>
      </c>
      <c r="C94" s="505">
        <f>+C72+C81+C87+C93</f>
        <v>508</v>
      </c>
      <c r="D94" s="283"/>
      <c r="E94" s="283" t="s">
        <v>264</v>
      </c>
      <c r="F94" s="220">
        <v>670500</v>
      </c>
      <c r="G94" s="285"/>
      <c r="H94" s="263"/>
      <c r="I94" s="292"/>
      <c r="N94" s="2" t="s">
        <v>278</v>
      </c>
      <c r="O94" s="505">
        <f>+O72+O81+O87+O93</f>
        <v>378</v>
      </c>
      <c r="P94" s="283"/>
      <c r="Q94" s="283" t="s">
        <v>264</v>
      </c>
      <c r="R94" s="220">
        <v>670500</v>
      </c>
      <c r="S94" s="285"/>
      <c r="T94" s="263"/>
      <c r="U94" s="292"/>
    </row>
    <row r="95" spans="2:21" ht="12.75">
      <c r="B95" s="213"/>
      <c r="C95" s="2"/>
      <c r="D95" s="202"/>
      <c r="E95" s="227" t="s">
        <v>279</v>
      </c>
      <c r="F95" s="279">
        <f>F92/F94</f>
        <v>0.015510812826249068</v>
      </c>
      <c r="G95" s="272"/>
      <c r="N95" s="213"/>
      <c r="O95" s="2"/>
      <c r="P95" s="202"/>
      <c r="Q95" s="227" t="s">
        <v>279</v>
      </c>
      <c r="R95" s="279">
        <f>R92/R94</f>
        <v>0.015510812826249068</v>
      </c>
      <c r="S95" s="272"/>
      <c r="U95" s="185"/>
    </row>
    <row r="96" spans="2:21" ht="12.75">
      <c r="B96" s="213"/>
      <c r="C96" s="2"/>
      <c r="D96" s="202"/>
      <c r="E96" s="202"/>
      <c r="F96" s="202"/>
      <c r="G96" s="272"/>
      <c r="N96" s="213"/>
      <c r="O96" s="2"/>
      <c r="P96" s="202"/>
      <c r="Q96" s="202"/>
      <c r="R96" s="202"/>
      <c r="S96" s="272"/>
      <c r="U96" s="185"/>
    </row>
    <row r="97" spans="7:21" ht="13.5" thickBot="1">
      <c r="G97" s="272"/>
      <c r="S97" s="272"/>
      <c r="U97" s="185"/>
    </row>
    <row r="98" spans="3:21" ht="13.5" thickBot="1">
      <c r="C98" s="126"/>
      <c r="D98" s="126"/>
      <c r="E98" s="228" t="s">
        <v>280</v>
      </c>
      <c r="F98" s="229">
        <f>F72+F81+F87+F92</f>
        <v>263588</v>
      </c>
      <c r="G98" s="272"/>
      <c r="O98" s="126"/>
      <c r="P98" s="126"/>
      <c r="Q98" s="228" t="s">
        <v>280</v>
      </c>
      <c r="R98" s="229">
        <f>R72+R81+R87+R92</f>
        <v>189176</v>
      </c>
      <c r="S98" s="272"/>
      <c r="U98" s="185"/>
    </row>
    <row r="99" spans="5:21" ht="12.75">
      <c r="E99" s="213" t="s">
        <v>281</v>
      </c>
      <c r="F99" s="230">
        <f>F98/F$14</f>
        <v>0.32164490543014035</v>
      </c>
      <c r="G99" s="272"/>
      <c r="Q99" s="213" t="s">
        <v>281</v>
      </c>
      <c r="R99" s="230">
        <f>R98/R$14</f>
        <v>0.23084319707138498</v>
      </c>
      <c r="S99" s="272"/>
      <c r="U99" s="185"/>
    </row>
    <row r="100" spans="5:21" ht="12.75">
      <c r="E100" s="213"/>
      <c r="F100" s="230"/>
      <c r="G100" s="273" t="s">
        <v>261</v>
      </c>
      <c r="Q100" s="213"/>
      <c r="R100" s="230"/>
      <c r="S100" s="273" t="s">
        <v>261</v>
      </c>
      <c r="U100" s="185"/>
    </row>
    <row r="101" spans="5:21" ht="12.75">
      <c r="E101" s="213" t="s">
        <v>328</v>
      </c>
      <c r="G101" s="278">
        <f>G81+G87+G93+G72</f>
        <v>12.7</v>
      </c>
      <c r="Q101" s="213" t="s">
        <v>328</v>
      </c>
      <c r="S101" s="278">
        <f>S81+S87+S93+S72</f>
        <v>9.45</v>
      </c>
      <c r="U101" s="185"/>
    </row>
    <row r="102" spans="9:21" ht="12.75">
      <c r="I102" s="273" t="s">
        <v>330</v>
      </c>
      <c r="S102" s="185"/>
      <c r="U102" s="273" t="s">
        <v>330</v>
      </c>
    </row>
    <row r="103" spans="1:23" ht="15.75">
      <c r="A103" s="134"/>
      <c r="B103" s="134"/>
      <c r="C103" s="134"/>
      <c r="D103" s="134"/>
      <c r="E103" s="213" t="s">
        <v>331</v>
      </c>
      <c r="F103" s="134"/>
      <c r="G103" s="280"/>
      <c r="H103" s="280"/>
      <c r="I103" s="278">
        <f>I81+I87+I93+I72</f>
        <v>17.666666666666668</v>
      </c>
      <c r="J103" s="134"/>
      <c r="M103" s="134"/>
      <c r="N103" s="134"/>
      <c r="O103" s="134"/>
      <c r="P103" s="134"/>
      <c r="Q103" s="213" t="s">
        <v>331</v>
      </c>
      <c r="R103" s="134"/>
      <c r="S103" s="280"/>
      <c r="T103" s="280"/>
      <c r="U103" s="278">
        <f>U81+U87+U93+U72</f>
        <v>13.333333333333334</v>
      </c>
      <c r="V103" s="134"/>
      <c r="W103" s="134"/>
    </row>
    <row r="104" spans="1:23" ht="15.75">
      <c r="A104" s="134"/>
      <c r="B104" s="134"/>
      <c r="C104" s="134"/>
      <c r="D104" s="134"/>
      <c r="E104" s="134"/>
      <c r="F104" s="134"/>
      <c r="G104" s="280"/>
      <c r="H104" s="280"/>
      <c r="I104" s="168"/>
      <c r="J104" s="134"/>
      <c r="M104" s="134"/>
      <c r="N104" s="134"/>
      <c r="O104" s="134"/>
      <c r="P104" s="134"/>
      <c r="Q104" s="134"/>
      <c r="R104" s="134"/>
      <c r="S104" s="280"/>
      <c r="T104" s="280"/>
      <c r="U104" s="168"/>
      <c r="V104" s="134"/>
      <c r="W104" s="134"/>
    </row>
    <row r="105" spans="1:23" ht="15.75">
      <c r="A105" s="280"/>
      <c r="B105" s="280"/>
      <c r="C105" s="280"/>
      <c r="D105" s="281"/>
      <c r="E105" s="280"/>
      <c r="F105" s="280"/>
      <c r="G105" s="280"/>
      <c r="H105" s="280"/>
      <c r="I105" s="168"/>
      <c r="J105" s="134"/>
      <c r="M105" s="280"/>
      <c r="N105" s="280"/>
      <c r="O105" s="280"/>
      <c r="P105" s="281"/>
      <c r="Q105" s="280"/>
      <c r="R105" s="280"/>
      <c r="S105" s="280"/>
      <c r="T105" s="280"/>
      <c r="U105" s="168"/>
      <c r="V105" s="134"/>
      <c r="W105" s="134"/>
    </row>
    <row r="106" spans="2:21" ht="15.75">
      <c r="B106" s="280" t="s">
        <v>444</v>
      </c>
      <c r="C106" s="280"/>
      <c r="D106" s="280"/>
      <c r="E106" s="280"/>
      <c r="F106" s="280"/>
      <c r="G106" s="280"/>
      <c r="N106" s="280" t="s">
        <v>511</v>
      </c>
      <c r="O106" s="280"/>
      <c r="P106" s="280"/>
      <c r="Q106" s="280"/>
      <c r="R106" s="280"/>
      <c r="S106" s="280"/>
      <c r="U106" s="185"/>
    </row>
    <row r="107" spans="2:21" ht="15.75">
      <c r="B107" s="280"/>
      <c r="C107" s="280"/>
      <c r="D107" s="280"/>
      <c r="E107" s="280"/>
      <c r="F107" s="280"/>
      <c r="G107" s="280"/>
      <c r="N107" s="280" t="s">
        <v>483</v>
      </c>
      <c r="O107" s="280"/>
      <c r="P107" s="280"/>
      <c r="Q107" s="280"/>
      <c r="R107" s="280"/>
      <c r="S107" s="280"/>
      <c r="U107" s="185"/>
    </row>
    <row r="108" spans="2:21" ht="15.75">
      <c r="B108" s="280" t="s">
        <v>443</v>
      </c>
      <c r="C108" s="280"/>
      <c r="D108" s="280"/>
      <c r="E108" s="280"/>
      <c r="F108" s="280"/>
      <c r="G108" s="280"/>
      <c r="N108" s="280" t="s">
        <v>329</v>
      </c>
      <c r="O108" s="280"/>
      <c r="P108" s="280"/>
      <c r="Q108" s="280"/>
      <c r="R108" s="280"/>
      <c r="S108" s="280"/>
      <c r="U108" s="185"/>
    </row>
    <row r="109" spans="2:21" ht="15.75">
      <c r="B109" s="280" t="s">
        <v>329</v>
      </c>
      <c r="C109" s="280"/>
      <c r="D109" s="280"/>
      <c r="E109" s="281"/>
      <c r="F109" s="280"/>
      <c r="G109" s="280"/>
      <c r="O109" s="280"/>
      <c r="P109" s="280"/>
      <c r="Q109" s="281"/>
      <c r="R109" s="280"/>
      <c r="S109" s="280"/>
      <c r="U109" s="185"/>
    </row>
    <row r="110" spans="14:21" ht="12.75">
      <c r="N110" s="298" t="s">
        <v>336</v>
      </c>
      <c r="S110" s="185"/>
      <c r="U110" s="185"/>
    </row>
    <row r="111" spans="2:20" ht="13.5" thickBot="1">
      <c r="B111" s="131" t="s">
        <v>332</v>
      </c>
      <c r="C111" s="131"/>
      <c r="D111" s="131"/>
      <c r="E111" s="131"/>
      <c r="F111" s="131"/>
      <c r="G111" s="131"/>
      <c r="N111" s="302" t="s">
        <v>319</v>
      </c>
      <c r="O111" s="299" t="s">
        <v>334</v>
      </c>
      <c r="P111" s="262"/>
      <c r="Q111" s="301" t="s">
        <v>333</v>
      </c>
      <c r="R111" s="301" t="s">
        <v>257</v>
      </c>
      <c r="S111" s="263"/>
      <c r="T111" s="292"/>
    </row>
    <row r="112" spans="2:20" ht="12.75">
      <c r="B112" s="131" t="s">
        <v>318</v>
      </c>
      <c r="C112" s="131"/>
      <c r="D112" s="131"/>
      <c r="E112" s="131"/>
      <c r="F112" s="131"/>
      <c r="G112" s="131"/>
      <c r="N112" s="302" t="s">
        <v>320</v>
      </c>
      <c r="O112" s="263" t="s">
        <v>321</v>
      </c>
      <c r="P112" s="263"/>
      <c r="Q112" s="263">
        <v>10</v>
      </c>
      <c r="R112" s="292">
        <v>70</v>
      </c>
      <c r="S112" s="263"/>
      <c r="T112" s="292"/>
    </row>
    <row r="113" spans="2:21" ht="15" thickBot="1">
      <c r="B113" s="131" t="s">
        <v>464</v>
      </c>
      <c r="C113" s="131"/>
      <c r="D113" s="131"/>
      <c r="E113" s="131"/>
      <c r="F113" s="131"/>
      <c r="G113" s="131"/>
      <c r="N113" s="300"/>
      <c r="O113" s="303" t="s">
        <v>323</v>
      </c>
      <c r="P113" s="303"/>
      <c r="Q113" s="303">
        <v>13</v>
      </c>
      <c r="R113" s="304">
        <v>91</v>
      </c>
      <c r="S113" s="292" t="s">
        <v>322</v>
      </c>
      <c r="T113" s="292"/>
      <c r="U113" s="185"/>
    </row>
    <row r="114" spans="2:21" ht="13.5">
      <c r="B114" s="298" t="s">
        <v>336</v>
      </c>
      <c r="N114" s="257"/>
      <c r="O114" s="257"/>
      <c r="P114" s="257"/>
      <c r="Q114" s="257"/>
      <c r="R114" s="257"/>
      <c r="S114" s="185" t="s">
        <v>335</v>
      </c>
      <c r="U114" s="185"/>
    </row>
    <row r="115" spans="2:21" ht="13.5" thickBot="1">
      <c r="B115" s="302" t="s">
        <v>319</v>
      </c>
      <c r="C115" s="299" t="s">
        <v>334</v>
      </c>
      <c r="D115" s="262"/>
      <c r="E115" s="301" t="s">
        <v>333</v>
      </c>
      <c r="F115" s="301" t="s">
        <v>257</v>
      </c>
      <c r="G115" s="263"/>
      <c r="H115" s="292"/>
      <c r="U115" s="185"/>
    </row>
    <row r="116" spans="2:21" ht="12.75">
      <c r="B116" s="302" t="s">
        <v>320</v>
      </c>
      <c r="C116" s="263" t="s">
        <v>321</v>
      </c>
      <c r="D116" s="263"/>
      <c r="E116" s="263">
        <v>10</v>
      </c>
      <c r="F116" s="292">
        <v>70</v>
      </c>
      <c r="G116" s="263"/>
      <c r="H116" s="292"/>
      <c r="N116" t="s">
        <v>485</v>
      </c>
      <c r="U116" s="185"/>
    </row>
    <row r="117" spans="2:21" ht="15" thickBot="1">
      <c r="B117" s="300"/>
      <c r="C117" s="303" t="s">
        <v>323</v>
      </c>
      <c r="D117" s="303"/>
      <c r="E117" s="303">
        <v>13</v>
      </c>
      <c r="F117" s="304">
        <v>91</v>
      </c>
      <c r="G117" s="292" t="s">
        <v>433</v>
      </c>
      <c r="H117" s="292"/>
      <c r="N117" s="185" t="s">
        <v>484</v>
      </c>
      <c r="O117" s="185"/>
      <c r="P117" s="185"/>
      <c r="Q117" s="185"/>
      <c r="R117" s="185"/>
      <c r="S117" s="185"/>
      <c r="T117" s="188"/>
      <c r="U117" s="185"/>
    </row>
    <row r="118" spans="2:21" ht="13.5">
      <c r="B118" s="257"/>
      <c r="C118" s="257"/>
      <c r="D118" s="257"/>
      <c r="E118" s="257"/>
      <c r="F118" s="257"/>
      <c r="G118" s="185" t="s">
        <v>335</v>
      </c>
      <c r="N118" s="185" t="s">
        <v>318</v>
      </c>
      <c r="O118" s="185"/>
      <c r="P118" s="185"/>
      <c r="Q118" s="185"/>
      <c r="R118" s="185"/>
      <c r="S118" s="185"/>
      <c r="T118" s="188"/>
      <c r="U118" s="185"/>
    </row>
  </sheetData>
  <sheetProtection/>
  <printOptions/>
  <pageMargins left="0.74" right="0.36" top="1.15" bottom="2.97" header="0.5" footer="0.5"/>
  <pageSetup fitToHeight="1" fitToWidth="1" horizontalDpi="600" verticalDpi="600" orientation="portrait" paperSize="3" scale="5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8">
      <selection activeCell="M16" sqref="M16"/>
    </sheetView>
  </sheetViews>
  <sheetFormatPr defaultColWidth="11.421875" defaultRowHeight="12.75"/>
  <cols>
    <col min="1" max="2" width="8.8515625" style="0" customWidth="1"/>
    <col min="3" max="3" width="11.140625" style="0" customWidth="1"/>
    <col min="4" max="4" width="15.7109375" style="0" customWidth="1"/>
    <col min="5" max="7" width="8.8515625" style="0" customWidth="1"/>
    <col min="8" max="8" width="12.8515625" style="0" customWidth="1"/>
    <col min="9" max="9" width="10.421875" style="0" customWidth="1"/>
    <col min="10" max="16384" width="8.8515625" style="0" customWidth="1"/>
  </cols>
  <sheetData>
    <row r="1" spans="1:10" ht="12.75">
      <c r="A1" s="335"/>
      <c r="B1" s="335"/>
      <c r="C1" s="335"/>
      <c r="D1" s="335"/>
      <c r="E1" s="335"/>
      <c r="F1" s="335"/>
      <c r="G1" s="335"/>
      <c r="H1" s="335"/>
      <c r="I1" s="335"/>
      <c r="J1" s="335"/>
    </row>
    <row r="2" spans="1:10" ht="30.75" customHeight="1">
      <c r="A2" s="336"/>
      <c r="B2" s="706" t="s">
        <v>395</v>
      </c>
      <c r="C2" s="706"/>
      <c r="D2" s="706"/>
      <c r="E2" s="706"/>
      <c r="F2" s="706"/>
      <c r="G2" s="337"/>
      <c r="H2" s="337"/>
      <c r="I2" s="337"/>
      <c r="J2" s="337"/>
    </row>
    <row r="3" spans="1:10" ht="12.75">
      <c r="A3" s="335"/>
      <c r="B3" s="335"/>
      <c r="C3" s="335"/>
      <c r="D3" s="335"/>
      <c r="E3" s="335"/>
      <c r="F3" s="335"/>
      <c r="G3" s="335"/>
      <c r="H3" s="335"/>
      <c r="I3" s="335"/>
      <c r="J3" s="335"/>
    </row>
    <row r="4" spans="1:10" ht="12.75">
      <c r="A4" s="335"/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2.75" customHeight="1">
      <c r="A5" s="335"/>
      <c r="B5" s="707" t="s">
        <v>396</v>
      </c>
      <c r="C5" s="707"/>
      <c r="D5" s="335"/>
      <c r="E5" s="335"/>
      <c r="F5" s="335"/>
      <c r="G5" s="705" t="s">
        <v>397</v>
      </c>
      <c r="H5" s="705"/>
      <c r="I5" s="335"/>
      <c r="J5" s="336"/>
    </row>
    <row r="6" spans="1:10" ht="12.75">
      <c r="A6" s="335"/>
      <c r="B6" s="704" t="s">
        <v>398</v>
      </c>
      <c r="C6" s="704"/>
      <c r="D6" s="704"/>
      <c r="E6" s="338">
        <v>250000</v>
      </c>
      <c r="F6" s="336"/>
      <c r="G6" s="704" t="s">
        <v>399</v>
      </c>
      <c r="H6" s="704"/>
      <c r="I6" s="336">
        <f>+I7*12</f>
        <v>47509.44</v>
      </c>
      <c r="J6" s="335"/>
    </row>
    <row r="7" spans="1:10" ht="12.75">
      <c r="A7" s="335"/>
      <c r="B7" s="704" t="s">
        <v>400</v>
      </c>
      <c r="C7" s="704"/>
      <c r="D7" s="704"/>
      <c r="E7" s="339">
        <v>0.085</v>
      </c>
      <c r="F7" s="336"/>
      <c r="G7" s="704" t="s">
        <v>401</v>
      </c>
      <c r="H7" s="704"/>
      <c r="I7" s="340">
        <v>3959.12</v>
      </c>
      <c r="J7" s="335"/>
    </row>
    <row r="8" spans="1:10" ht="12.75">
      <c r="A8" s="335"/>
      <c r="B8" s="704" t="s">
        <v>402</v>
      </c>
      <c r="C8" s="704"/>
      <c r="D8" s="704"/>
      <c r="E8" s="341">
        <v>7</v>
      </c>
      <c r="F8" s="336"/>
      <c r="G8" s="704" t="s">
        <v>403</v>
      </c>
      <c r="H8" s="704"/>
      <c r="I8" s="340">
        <v>20202.42</v>
      </c>
      <c r="J8" s="335"/>
    </row>
    <row r="9" spans="1:10" ht="12.75">
      <c r="A9" s="335"/>
      <c r="B9" s="704" t="s">
        <v>404</v>
      </c>
      <c r="C9" s="704"/>
      <c r="D9" s="704"/>
      <c r="E9" s="341">
        <v>2011</v>
      </c>
      <c r="F9" s="336"/>
      <c r="G9" s="704" t="s">
        <v>405</v>
      </c>
      <c r="H9" s="704"/>
      <c r="I9" s="340">
        <v>82566.08</v>
      </c>
      <c r="J9" s="335"/>
    </row>
    <row r="10" spans="1:10" ht="12.75">
      <c r="A10" s="335"/>
      <c r="B10" s="704" t="s">
        <v>406</v>
      </c>
      <c r="C10" s="704"/>
      <c r="D10" s="704"/>
      <c r="E10" s="341">
        <v>1</v>
      </c>
      <c r="F10" s="336"/>
      <c r="G10" s="704" t="s">
        <v>407</v>
      </c>
      <c r="H10" s="704"/>
      <c r="I10" s="336">
        <f>+I9+E6</f>
        <v>332566.08</v>
      </c>
      <c r="J10" s="335"/>
    </row>
    <row r="11" spans="1:10" ht="12.75">
      <c r="A11" s="335"/>
      <c r="B11" s="336"/>
      <c r="C11" s="335"/>
      <c r="D11" s="335"/>
      <c r="E11" s="335"/>
      <c r="F11" s="336"/>
      <c r="G11" s="335"/>
      <c r="H11" s="336"/>
      <c r="I11" s="336"/>
      <c r="J11" s="335"/>
    </row>
    <row r="12" spans="1:10" ht="12.75">
      <c r="A12" s="335"/>
      <c r="B12" s="335"/>
      <c r="C12" s="335"/>
      <c r="D12" s="335"/>
      <c r="E12" s="335"/>
      <c r="F12" s="335"/>
      <c r="G12" s="335"/>
      <c r="H12" s="335"/>
      <c r="I12" s="335"/>
      <c r="J12" s="335"/>
    </row>
    <row r="13" spans="1:10" ht="12.75" customHeight="1">
      <c r="A13" s="335"/>
      <c r="B13" s="705" t="s">
        <v>408</v>
      </c>
      <c r="C13" s="705"/>
      <c r="D13" s="705"/>
      <c r="E13" s="705"/>
      <c r="F13" s="335"/>
      <c r="G13" s="335"/>
      <c r="H13" s="335"/>
      <c r="I13" s="335"/>
      <c r="J13" s="335"/>
    </row>
    <row r="14" spans="1:10" ht="12.75">
      <c r="A14" s="335"/>
      <c r="B14" s="342"/>
      <c r="C14" s="342"/>
      <c r="D14" s="342"/>
      <c r="E14" s="342"/>
      <c r="F14" s="342"/>
      <c r="G14" s="342"/>
      <c r="H14" s="343" t="s">
        <v>409</v>
      </c>
      <c r="I14" s="345" t="s">
        <v>409</v>
      </c>
      <c r="J14" s="343" t="s">
        <v>410</v>
      </c>
    </row>
    <row r="15" spans="1:10" ht="12.75">
      <c r="A15" s="335"/>
      <c r="B15" s="343" t="s">
        <v>411</v>
      </c>
      <c r="C15" s="343" t="s">
        <v>412</v>
      </c>
      <c r="D15" s="343" t="s">
        <v>413</v>
      </c>
      <c r="E15" s="343" t="s">
        <v>414</v>
      </c>
      <c r="F15" s="343" t="s">
        <v>415</v>
      </c>
      <c r="G15" s="343" t="s">
        <v>416</v>
      </c>
      <c r="H15" s="343" t="s">
        <v>415</v>
      </c>
      <c r="I15" s="345" t="s">
        <v>416</v>
      </c>
      <c r="J15" s="343" t="s">
        <v>413</v>
      </c>
    </row>
    <row r="16" spans="1:10" ht="12.75">
      <c r="A16" s="335"/>
      <c r="B16" s="336">
        <v>2011</v>
      </c>
      <c r="C16" s="337" t="s">
        <v>5</v>
      </c>
      <c r="D16" s="336">
        <f>+E6</f>
        <v>250000</v>
      </c>
      <c r="E16" s="344">
        <f aca="true" t="shared" si="0" ref="E16:E27">+$I$7</f>
        <v>3959.12</v>
      </c>
      <c r="F16" s="336">
        <f aca="true" t="shared" si="1" ref="F16:F27">+E16-G16</f>
        <v>2188.29</v>
      </c>
      <c r="G16" s="340">
        <v>1770.83</v>
      </c>
      <c r="H16" s="336">
        <f>+F16</f>
        <v>2188.29</v>
      </c>
      <c r="I16" s="344">
        <f>+G16</f>
        <v>1770.83</v>
      </c>
      <c r="J16" s="336">
        <f aca="true" t="shared" si="2" ref="J16:J27">+D16-F16</f>
        <v>247811.71</v>
      </c>
    </row>
    <row r="17" spans="1:10" ht="12.75">
      <c r="A17" s="335"/>
      <c r="B17" s="335"/>
      <c r="C17" s="337" t="s">
        <v>6</v>
      </c>
      <c r="D17" s="336">
        <f aca="true" t="shared" si="3" ref="D17:D27">+J16</f>
        <v>247811.71</v>
      </c>
      <c r="E17" s="336">
        <f t="shared" si="0"/>
        <v>3959.12</v>
      </c>
      <c r="F17" s="336">
        <f t="shared" si="1"/>
        <v>2203.79</v>
      </c>
      <c r="G17" s="340">
        <v>1755.33</v>
      </c>
      <c r="H17" s="336">
        <f aca="true" t="shared" si="4" ref="H17:H27">+H16+F17</f>
        <v>4392.08</v>
      </c>
      <c r="I17" s="344">
        <f aca="true" t="shared" si="5" ref="I17:I27">+I16+G17</f>
        <v>3526.16</v>
      </c>
      <c r="J17" s="336">
        <f t="shared" si="2"/>
        <v>245607.91999999998</v>
      </c>
    </row>
    <row r="18" spans="1:10" ht="12.75">
      <c r="A18" s="335"/>
      <c r="B18" s="335"/>
      <c r="C18" s="337" t="s">
        <v>7</v>
      </c>
      <c r="D18" s="336">
        <f t="shared" si="3"/>
        <v>245607.91999999998</v>
      </c>
      <c r="E18" s="336">
        <f t="shared" si="0"/>
        <v>3959.12</v>
      </c>
      <c r="F18" s="336">
        <f t="shared" si="1"/>
        <v>2219.3999999999996</v>
      </c>
      <c r="G18" s="340">
        <v>1739.72</v>
      </c>
      <c r="H18" s="336">
        <f t="shared" si="4"/>
        <v>6611.48</v>
      </c>
      <c r="I18" s="344">
        <f t="shared" si="5"/>
        <v>5265.88</v>
      </c>
      <c r="J18" s="336">
        <f t="shared" si="2"/>
        <v>243388.52</v>
      </c>
    </row>
    <row r="19" spans="1:10" ht="12.75">
      <c r="A19" s="335"/>
      <c r="B19" s="335"/>
      <c r="C19" s="337" t="s">
        <v>8</v>
      </c>
      <c r="D19" s="336">
        <f t="shared" si="3"/>
        <v>243388.52</v>
      </c>
      <c r="E19" s="336">
        <f t="shared" si="0"/>
        <v>3959.12</v>
      </c>
      <c r="F19" s="336">
        <f t="shared" si="1"/>
        <v>2235.12</v>
      </c>
      <c r="G19" s="340">
        <v>1724</v>
      </c>
      <c r="H19" s="336">
        <f t="shared" si="4"/>
        <v>8846.599999999999</v>
      </c>
      <c r="I19" s="344">
        <f t="shared" si="5"/>
        <v>6989.88</v>
      </c>
      <c r="J19" s="336">
        <f t="shared" si="2"/>
        <v>241153.4</v>
      </c>
    </row>
    <row r="20" spans="1:10" ht="12.75">
      <c r="A20" s="335"/>
      <c r="B20" s="335"/>
      <c r="C20" s="337" t="s">
        <v>9</v>
      </c>
      <c r="D20" s="336">
        <f t="shared" si="3"/>
        <v>241153.4</v>
      </c>
      <c r="E20" s="336">
        <f t="shared" si="0"/>
        <v>3959.12</v>
      </c>
      <c r="F20" s="336">
        <f t="shared" si="1"/>
        <v>2250.95</v>
      </c>
      <c r="G20" s="340">
        <v>1708.17</v>
      </c>
      <c r="H20" s="336">
        <f t="shared" si="4"/>
        <v>11097.55</v>
      </c>
      <c r="I20" s="344">
        <f t="shared" si="5"/>
        <v>8698.05</v>
      </c>
      <c r="J20" s="336">
        <f t="shared" si="2"/>
        <v>238902.44999999998</v>
      </c>
    </row>
    <row r="21" spans="1:10" ht="12.75">
      <c r="A21" s="335"/>
      <c r="B21" s="335"/>
      <c r="C21" s="337" t="s">
        <v>10</v>
      </c>
      <c r="D21" s="336">
        <f t="shared" si="3"/>
        <v>238902.44999999998</v>
      </c>
      <c r="E21" s="336">
        <f t="shared" si="0"/>
        <v>3959.12</v>
      </c>
      <c r="F21" s="336">
        <f t="shared" si="1"/>
        <v>2266.89</v>
      </c>
      <c r="G21" s="340">
        <v>1692.23</v>
      </c>
      <c r="H21" s="336">
        <f t="shared" si="4"/>
        <v>13364.439999999999</v>
      </c>
      <c r="I21" s="344">
        <f t="shared" si="5"/>
        <v>10390.279999999999</v>
      </c>
      <c r="J21" s="336">
        <f t="shared" si="2"/>
        <v>236635.55999999997</v>
      </c>
    </row>
    <row r="22" spans="1:10" ht="12.75">
      <c r="A22" s="335"/>
      <c r="B22" s="335"/>
      <c r="C22" s="337" t="s">
        <v>11</v>
      </c>
      <c r="D22" s="336">
        <f t="shared" si="3"/>
        <v>236635.55999999997</v>
      </c>
      <c r="E22" s="336">
        <f t="shared" si="0"/>
        <v>3959.12</v>
      </c>
      <c r="F22" s="336">
        <f t="shared" si="1"/>
        <v>2282.95</v>
      </c>
      <c r="G22" s="340">
        <v>1676.17</v>
      </c>
      <c r="H22" s="336">
        <f t="shared" si="4"/>
        <v>15647.39</v>
      </c>
      <c r="I22" s="344">
        <f t="shared" si="5"/>
        <v>12066.449999999999</v>
      </c>
      <c r="J22" s="336">
        <f t="shared" si="2"/>
        <v>234352.60999999996</v>
      </c>
    </row>
    <row r="23" spans="1:10" ht="12.75">
      <c r="A23" s="335"/>
      <c r="B23" s="335"/>
      <c r="C23" s="337" t="s">
        <v>12</v>
      </c>
      <c r="D23" s="336">
        <f t="shared" si="3"/>
        <v>234352.60999999996</v>
      </c>
      <c r="E23" s="336">
        <f t="shared" si="0"/>
        <v>3959.12</v>
      </c>
      <c r="F23" s="336">
        <f t="shared" si="1"/>
        <v>2299.12</v>
      </c>
      <c r="G23" s="340">
        <v>1660</v>
      </c>
      <c r="H23" s="336">
        <f t="shared" si="4"/>
        <v>17946.51</v>
      </c>
      <c r="I23" s="344">
        <f t="shared" si="5"/>
        <v>13726.449999999999</v>
      </c>
      <c r="J23" s="336">
        <f t="shared" si="2"/>
        <v>232053.48999999996</v>
      </c>
    </row>
    <row r="24" spans="1:10" ht="12.75">
      <c r="A24" s="335"/>
      <c r="B24" s="335"/>
      <c r="C24" s="337" t="s">
        <v>13</v>
      </c>
      <c r="D24" s="336">
        <f t="shared" si="3"/>
        <v>232053.48999999996</v>
      </c>
      <c r="E24" s="336">
        <f t="shared" si="0"/>
        <v>3959.12</v>
      </c>
      <c r="F24" s="336">
        <f t="shared" si="1"/>
        <v>2315.41</v>
      </c>
      <c r="G24" s="340">
        <v>1643.71</v>
      </c>
      <c r="H24" s="336">
        <f t="shared" si="4"/>
        <v>20261.92</v>
      </c>
      <c r="I24" s="344">
        <f t="shared" si="5"/>
        <v>15370.16</v>
      </c>
      <c r="J24" s="336">
        <f t="shared" si="2"/>
        <v>229738.07999999996</v>
      </c>
    </row>
    <row r="25" spans="1:10" ht="12.75">
      <c r="A25" s="335"/>
      <c r="B25" s="335"/>
      <c r="C25" s="337" t="s">
        <v>14</v>
      </c>
      <c r="D25" s="336">
        <f t="shared" si="3"/>
        <v>229738.07999999996</v>
      </c>
      <c r="E25" s="336">
        <f t="shared" si="0"/>
        <v>3959.12</v>
      </c>
      <c r="F25" s="336">
        <f t="shared" si="1"/>
        <v>2331.81</v>
      </c>
      <c r="G25" s="340">
        <v>1627.31</v>
      </c>
      <c r="H25" s="336">
        <f t="shared" si="4"/>
        <v>22593.73</v>
      </c>
      <c r="I25" s="344">
        <f t="shared" si="5"/>
        <v>16997.47</v>
      </c>
      <c r="J25" s="336">
        <f t="shared" si="2"/>
        <v>227406.26999999996</v>
      </c>
    </row>
    <row r="26" spans="1:10" ht="12.75">
      <c r="A26" s="335"/>
      <c r="B26" s="335"/>
      <c r="C26" s="337" t="s">
        <v>15</v>
      </c>
      <c r="D26" s="336">
        <f t="shared" si="3"/>
        <v>227406.26999999996</v>
      </c>
      <c r="E26" s="336">
        <f t="shared" si="0"/>
        <v>3959.12</v>
      </c>
      <c r="F26" s="336">
        <f t="shared" si="1"/>
        <v>2348.33</v>
      </c>
      <c r="G26" s="340">
        <v>1610.79</v>
      </c>
      <c r="H26" s="336">
        <f t="shared" si="4"/>
        <v>24942.059999999998</v>
      </c>
      <c r="I26" s="344">
        <f t="shared" si="5"/>
        <v>18608.260000000002</v>
      </c>
      <c r="J26" s="336">
        <f t="shared" si="2"/>
        <v>225057.93999999997</v>
      </c>
    </row>
    <row r="27" spans="1:10" ht="12.75">
      <c r="A27" s="335"/>
      <c r="B27" s="335"/>
      <c r="C27" s="337" t="s">
        <v>16</v>
      </c>
      <c r="D27" s="336">
        <f t="shared" si="3"/>
        <v>225057.93999999997</v>
      </c>
      <c r="E27" s="336">
        <f t="shared" si="0"/>
        <v>3959.12</v>
      </c>
      <c r="F27" s="336">
        <f t="shared" si="1"/>
        <v>2364.96</v>
      </c>
      <c r="G27" s="340">
        <v>1594.16</v>
      </c>
      <c r="H27" s="336">
        <f t="shared" si="4"/>
        <v>27307.019999999997</v>
      </c>
      <c r="I27" s="344">
        <f t="shared" si="5"/>
        <v>20202.420000000002</v>
      </c>
      <c r="J27" s="336">
        <f t="shared" si="2"/>
        <v>222692.97999999998</v>
      </c>
    </row>
    <row r="28" spans="1:10" ht="12.75">
      <c r="A28" s="335"/>
      <c r="B28" s="335"/>
      <c r="C28" s="335"/>
      <c r="D28" s="335"/>
      <c r="E28" s="335"/>
      <c r="F28" s="335"/>
      <c r="G28" s="335"/>
      <c r="H28" s="335"/>
      <c r="I28" s="346"/>
      <c r="J28" s="335"/>
    </row>
    <row r="29" spans="1:10" ht="12.75" customHeight="1">
      <c r="A29" s="335"/>
      <c r="B29" s="705" t="s">
        <v>417</v>
      </c>
      <c r="C29" s="705"/>
      <c r="D29" s="705"/>
      <c r="E29" s="705"/>
      <c r="F29" s="705"/>
      <c r="G29" s="335"/>
      <c r="H29" s="335"/>
      <c r="I29" s="346"/>
      <c r="J29" s="335"/>
    </row>
    <row r="30" spans="1:10" ht="12.75">
      <c r="A30" s="335"/>
      <c r="B30" s="336"/>
      <c r="C30" s="342"/>
      <c r="D30" s="342"/>
      <c r="E30" s="342"/>
      <c r="F30" s="342"/>
      <c r="G30" s="342"/>
      <c r="H30" s="343" t="s">
        <v>409</v>
      </c>
      <c r="I30" s="345" t="s">
        <v>409</v>
      </c>
      <c r="J30" s="343" t="s">
        <v>410</v>
      </c>
    </row>
    <row r="31" spans="1:10" ht="12.75">
      <c r="A31" s="335"/>
      <c r="B31" s="336"/>
      <c r="C31" s="343" t="s">
        <v>411</v>
      </c>
      <c r="D31" s="343" t="s">
        <v>413</v>
      </c>
      <c r="E31" s="343" t="s">
        <v>414</v>
      </c>
      <c r="F31" s="343" t="s">
        <v>415</v>
      </c>
      <c r="G31" s="343" t="s">
        <v>416</v>
      </c>
      <c r="H31" s="343" t="s">
        <v>415</v>
      </c>
      <c r="I31" s="345" t="s">
        <v>416</v>
      </c>
      <c r="J31" s="343" t="s">
        <v>413</v>
      </c>
    </row>
    <row r="32" spans="1:10" ht="12.75">
      <c r="A32" s="335"/>
      <c r="B32" s="335"/>
      <c r="C32" s="336">
        <v>2012</v>
      </c>
      <c r="D32" s="340">
        <v>222692.98</v>
      </c>
      <c r="E32" s="340">
        <v>47509.44</v>
      </c>
      <c r="F32" s="336">
        <f aca="true" t="shared" si="6" ref="F32:F38">IF(C32,D32-J32,"")</f>
        <v>29720.790000000008</v>
      </c>
      <c r="G32" s="336">
        <f aca="true" t="shared" si="7" ref="G32:G38">IF(C32,E32-F32,"")</f>
        <v>17788.649999999994</v>
      </c>
      <c r="H32" s="340">
        <v>57027.81</v>
      </c>
      <c r="I32" s="347">
        <v>37991.07</v>
      </c>
      <c r="J32" s="340">
        <v>192972.19</v>
      </c>
    </row>
    <row r="33" spans="1:10" ht="12.75">
      <c r="A33" s="335"/>
      <c r="B33" s="336"/>
      <c r="C33" s="336">
        <v>2013</v>
      </c>
      <c r="D33" s="336">
        <f aca="true" t="shared" si="8" ref="D33:D38">IF(C33,+J32,"")</f>
        <v>192972.19</v>
      </c>
      <c r="E33" s="340">
        <v>47509.44</v>
      </c>
      <c r="F33" s="336">
        <f t="shared" si="6"/>
        <v>32347.75</v>
      </c>
      <c r="G33" s="336">
        <f t="shared" si="7"/>
        <v>15161.690000000002</v>
      </c>
      <c r="H33" s="336">
        <f aca="true" t="shared" si="9" ref="H33:H38">IF(C33,H32+F33,"")</f>
        <v>89375.56</v>
      </c>
      <c r="I33" s="344">
        <f aca="true" t="shared" si="10" ref="I33:I38">IF(C33,I32+G33,"")</f>
        <v>53152.76</v>
      </c>
      <c r="J33" s="340">
        <v>160624.44</v>
      </c>
    </row>
    <row r="34" spans="1:10" ht="12.75">
      <c r="A34" s="335"/>
      <c r="B34" s="336"/>
      <c r="C34" s="336">
        <v>2014</v>
      </c>
      <c r="D34" s="336">
        <f t="shared" si="8"/>
        <v>160624.44</v>
      </c>
      <c r="E34" s="340">
        <v>47509.44</v>
      </c>
      <c r="F34" s="336">
        <f t="shared" si="6"/>
        <v>35206.990000000005</v>
      </c>
      <c r="G34" s="336">
        <f t="shared" si="7"/>
        <v>12302.449999999997</v>
      </c>
      <c r="H34" s="336">
        <f t="shared" si="9"/>
        <v>124582.55</v>
      </c>
      <c r="I34" s="344">
        <f t="shared" si="10"/>
        <v>65455.21</v>
      </c>
      <c r="J34" s="340">
        <v>125417.45</v>
      </c>
    </row>
    <row r="35" spans="1:10" ht="12.75">
      <c r="A35" s="335"/>
      <c r="B35" s="336"/>
      <c r="C35" s="336">
        <v>2015</v>
      </c>
      <c r="D35" s="336">
        <f t="shared" si="8"/>
        <v>125417.45</v>
      </c>
      <c r="E35" s="340">
        <v>47509.44</v>
      </c>
      <c r="F35" s="336">
        <f t="shared" si="6"/>
        <v>38318.97</v>
      </c>
      <c r="G35" s="336">
        <f t="shared" si="7"/>
        <v>9190.470000000001</v>
      </c>
      <c r="H35" s="336">
        <f t="shared" si="9"/>
        <v>162901.52000000002</v>
      </c>
      <c r="I35" s="344">
        <f t="shared" si="10"/>
        <v>74645.68</v>
      </c>
      <c r="J35" s="340">
        <v>87098.48</v>
      </c>
    </row>
    <row r="36" spans="1:10" ht="12.75">
      <c r="A36" s="335"/>
      <c r="B36" s="336"/>
      <c r="C36" s="336">
        <v>2016</v>
      </c>
      <c r="D36" s="336">
        <f t="shared" si="8"/>
        <v>87098.48</v>
      </c>
      <c r="E36" s="340">
        <v>47509.44</v>
      </c>
      <c r="F36" s="336">
        <f t="shared" si="6"/>
        <v>41706.03</v>
      </c>
      <c r="G36" s="336">
        <f t="shared" si="7"/>
        <v>5803.4100000000035</v>
      </c>
      <c r="H36" s="336">
        <f t="shared" si="9"/>
        <v>204607.55000000002</v>
      </c>
      <c r="I36" s="344">
        <f t="shared" si="10"/>
        <v>80449.09</v>
      </c>
      <c r="J36" s="340">
        <v>45392.45</v>
      </c>
    </row>
    <row r="37" spans="1:10" ht="12.75">
      <c r="A37" s="335"/>
      <c r="B37" s="336"/>
      <c r="C37" s="336">
        <v>2017</v>
      </c>
      <c r="D37" s="336">
        <f t="shared" si="8"/>
        <v>45392.45</v>
      </c>
      <c r="E37" s="340">
        <v>47509.44</v>
      </c>
      <c r="F37" s="336">
        <f t="shared" si="6"/>
        <v>45392.45</v>
      </c>
      <c r="G37" s="336">
        <f t="shared" si="7"/>
        <v>2116.9900000000052</v>
      </c>
      <c r="H37" s="336">
        <f t="shared" si="9"/>
        <v>250000</v>
      </c>
      <c r="I37" s="344">
        <f t="shared" si="10"/>
        <v>82566.08</v>
      </c>
      <c r="J37" s="340">
        <v>0</v>
      </c>
    </row>
    <row r="38" spans="1:10" ht="12.75">
      <c r="A38" s="335"/>
      <c r="B38" s="336"/>
      <c r="C38" s="335"/>
      <c r="D38" s="335">
        <f t="shared" si="8"/>
      </c>
      <c r="E38" s="335"/>
      <c r="F38" s="335">
        <f t="shared" si="6"/>
      </c>
      <c r="G38" s="335">
        <f t="shared" si="7"/>
      </c>
      <c r="H38" s="335">
        <f t="shared" si="9"/>
      </c>
      <c r="I38" s="335">
        <f t="shared" si="10"/>
      </c>
      <c r="J38" s="335"/>
    </row>
  </sheetData>
  <sheetProtection/>
  <mergeCells count="15">
    <mergeCell ref="B2:F2"/>
    <mergeCell ref="B5:C5"/>
    <mergeCell ref="G5:H5"/>
    <mergeCell ref="B6:D6"/>
    <mergeCell ref="G6:H6"/>
    <mergeCell ref="B7:D7"/>
    <mergeCell ref="G7:H7"/>
    <mergeCell ref="B8:D8"/>
    <mergeCell ref="G8:H8"/>
    <mergeCell ref="B13:E13"/>
    <mergeCell ref="B29:F29"/>
    <mergeCell ref="B9:D9"/>
    <mergeCell ref="G9:H9"/>
    <mergeCell ref="B10:D10"/>
    <mergeCell ref="G10:H10"/>
  </mergeCells>
  <printOptions/>
  <pageMargins left="0.17" right="0.17" top="0.56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7"/>
  <sheetViews>
    <sheetView tabSelected="1" view="pageBreakPreview" zoomScale="60" zoomScalePageLayoutView="0" workbookViewId="0" topLeftCell="A1">
      <selection activeCell="J42" sqref="J42"/>
    </sheetView>
  </sheetViews>
  <sheetFormatPr defaultColWidth="11.421875" defaultRowHeight="12.75"/>
  <cols>
    <col min="1" max="1" width="8.8515625" style="0" customWidth="1"/>
    <col min="2" max="2" width="59.140625" style="0" customWidth="1"/>
    <col min="3" max="3" width="24.421875" style="0" customWidth="1"/>
    <col min="4" max="4" width="15.140625" style="0" customWidth="1"/>
    <col min="5" max="5" width="16.28125" style="0" customWidth="1"/>
    <col min="6" max="6" width="15.8515625" style="0" customWidth="1"/>
    <col min="7" max="7" width="12.8515625" style="0" customWidth="1"/>
    <col min="8" max="8" width="15.421875" style="0" customWidth="1"/>
    <col min="9" max="9" width="14.421875" style="0" customWidth="1"/>
    <col min="10" max="10" width="14.8515625" style="0" customWidth="1"/>
    <col min="11" max="11" width="18.00390625" style="0" customWidth="1"/>
    <col min="12" max="12" width="14.28125" style="0" customWidth="1"/>
    <col min="13" max="13" width="15.140625" style="0" customWidth="1"/>
    <col min="14" max="14" width="14.7109375" style="0" customWidth="1"/>
    <col min="15" max="15" width="14.421875" style="0" customWidth="1"/>
    <col min="16" max="16" width="16.421875" style="0" customWidth="1"/>
    <col min="17" max="17" width="16.00390625" style="1" customWidth="1"/>
    <col min="18" max="19" width="8.8515625" style="0" customWidth="1"/>
    <col min="20" max="20" width="11.7109375" style="0" customWidth="1"/>
    <col min="21" max="21" width="12.00390625" style="0" customWidth="1"/>
    <col min="22" max="22" width="15.8515625" style="0" customWidth="1"/>
    <col min="23" max="23" width="13.7109375" style="0" customWidth="1"/>
    <col min="24" max="24" width="15.00390625" style="0" customWidth="1"/>
    <col min="25" max="25" width="11.421875" style="0" customWidth="1"/>
    <col min="26" max="26" width="12.28125" style="0" customWidth="1"/>
    <col min="27" max="27" width="12.421875" style="0" customWidth="1"/>
    <col min="28" max="16384" width="8.8515625" style="0" customWidth="1"/>
  </cols>
  <sheetData>
    <row r="1" spans="1:22" ht="19.5">
      <c r="A1" s="109"/>
      <c r="B1" s="110"/>
      <c r="C1" s="4" t="s">
        <v>570</v>
      </c>
      <c r="D1" s="4"/>
      <c r="E1" s="4"/>
      <c r="F1" s="4"/>
      <c r="G1" s="4"/>
      <c r="H1" s="4"/>
      <c r="I1" s="4"/>
      <c r="J1" s="4"/>
      <c r="K1" s="4"/>
      <c r="L1" s="4"/>
      <c r="M1" s="4"/>
      <c r="N1" s="80" t="s">
        <v>219</v>
      </c>
      <c r="O1" s="81"/>
      <c r="P1" s="4"/>
      <c r="Q1" s="5"/>
      <c r="R1" s="4"/>
      <c r="S1" s="4"/>
      <c r="T1" s="4"/>
      <c r="U1" s="4"/>
      <c r="V1" s="4"/>
    </row>
    <row r="2" spans="1:22" ht="19.5">
      <c r="A2" s="109" t="s">
        <v>183</v>
      </c>
      <c r="B2" s="110"/>
      <c r="C2" s="4"/>
      <c r="D2" s="3"/>
      <c r="E2" s="3"/>
      <c r="F2" s="3" t="s">
        <v>0</v>
      </c>
      <c r="G2" s="3" t="s">
        <v>0</v>
      </c>
      <c r="H2" s="3"/>
      <c r="I2" s="3" t="s">
        <v>1</v>
      </c>
      <c r="J2" s="3"/>
      <c r="K2" s="3"/>
      <c r="L2" s="3"/>
      <c r="M2" s="3" t="s">
        <v>2</v>
      </c>
      <c r="N2" s="3"/>
      <c r="O2" s="3"/>
      <c r="P2" s="3"/>
      <c r="Q2" s="5"/>
      <c r="R2" s="4"/>
      <c r="S2" s="4"/>
      <c r="T2" s="4"/>
      <c r="U2" s="4"/>
      <c r="V2" s="4"/>
    </row>
    <row r="3" spans="1:22" ht="15.75">
      <c r="A3" s="4"/>
      <c r="B3" s="4"/>
      <c r="C3" s="4"/>
      <c r="D3" s="6"/>
      <c r="E3" s="3"/>
      <c r="F3" s="3" t="s">
        <v>3</v>
      </c>
      <c r="G3" s="3" t="s">
        <v>148</v>
      </c>
      <c r="H3" s="3"/>
      <c r="I3" s="3"/>
      <c r="J3" s="3"/>
      <c r="K3" s="3"/>
      <c r="L3" s="3"/>
      <c r="M3" s="3" t="s">
        <v>4</v>
      </c>
      <c r="N3" s="3"/>
      <c r="O3" s="3"/>
      <c r="P3" s="3"/>
      <c r="Q3" s="5"/>
      <c r="R3" s="4"/>
      <c r="S3" s="4"/>
      <c r="T3" s="4"/>
      <c r="U3" s="4"/>
      <c r="V3" s="4"/>
    </row>
    <row r="4" spans="1:22" ht="15.75">
      <c r="A4" s="4"/>
      <c r="B4" s="4"/>
      <c r="C4" s="4"/>
      <c r="D4" s="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  <c r="R4" s="4"/>
      <c r="S4" s="4"/>
      <c r="T4" s="4"/>
      <c r="U4" s="4"/>
      <c r="V4" s="4"/>
    </row>
    <row r="5" spans="1:22" ht="15.75">
      <c r="A5" s="4"/>
      <c r="B5" s="4"/>
      <c r="C5" s="107" t="s">
        <v>169</v>
      </c>
      <c r="D5" s="108"/>
      <c r="E5" s="107" t="s">
        <v>170</v>
      </c>
      <c r="F5" s="107"/>
      <c r="G5" s="3"/>
      <c r="H5" s="3"/>
      <c r="I5" s="3"/>
      <c r="J5" s="3"/>
      <c r="K5" s="3"/>
      <c r="L5" s="3"/>
      <c r="M5" s="3"/>
      <c r="N5" s="3"/>
      <c r="O5" s="3"/>
      <c r="P5" s="3"/>
      <c r="Q5" s="5"/>
      <c r="R5" s="4"/>
      <c r="S5" s="4"/>
      <c r="T5" s="4"/>
      <c r="U5" s="4"/>
      <c r="V5" s="4"/>
    </row>
    <row r="6" spans="1:22" ht="15.75">
      <c r="A6" s="4"/>
      <c r="B6" s="56" t="s">
        <v>155</v>
      </c>
      <c r="C6" s="72" t="s">
        <v>145</v>
      </c>
      <c r="D6" s="6" t="s">
        <v>5</v>
      </c>
      <c r="E6" s="7" t="s">
        <v>6</v>
      </c>
      <c r="F6" s="3" t="s">
        <v>7</v>
      </c>
      <c r="G6" s="7" t="s">
        <v>8</v>
      </c>
      <c r="H6" s="3" t="s">
        <v>9</v>
      </c>
      <c r="I6" s="7" t="s">
        <v>10</v>
      </c>
      <c r="J6" s="3" t="s">
        <v>11</v>
      </c>
      <c r="K6" s="7" t="s">
        <v>12</v>
      </c>
      <c r="L6" s="3" t="s">
        <v>13</v>
      </c>
      <c r="M6" s="7" t="s">
        <v>14</v>
      </c>
      <c r="N6" s="3" t="s">
        <v>15</v>
      </c>
      <c r="O6" s="7" t="s">
        <v>16</v>
      </c>
      <c r="P6" s="3" t="s">
        <v>17</v>
      </c>
      <c r="Q6" s="5"/>
      <c r="R6" s="4"/>
      <c r="S6" s="4"/>
      <c r="T6" s="4"/>
      <c r="U6" s="4"/>
      <c r="V6" s="4"/>
    </row>
    <row r="7" spans="1:22" ht="15.75">
      <c r="A7" s="4"/>
      <c r="B7" s="12" t="s">
        <v>18</v>
      </c>
      <c r="C7" s="8">
        <v>88940.95</v>
      </c>
      <c r="D7" s="9">
        <v>78000</v>
      </c>
      <c r="E7" s="10">
        <v>75000</v>
      </c>
      <c r="F7" s="11">
        <f aca="true" t="shared" si="0" ref="F7:F19">(E7/28)*21</f>
        <v>56250</v>
      </c>
      <c r="G7" s="10">
        <v>47142</v>
      </c>
      <c r="H7" s="11">
        <v>75000</v>
      </c>
      <c r="I7" s="10">
        <f aca="true" t="shared" si="1" ref="I7:I19">H7+(H7*0.05)</f>
        <v>78750</v>
      </c>
      <c r="J7" s="11">
        <f aca="true" t="shared" si="2" ref="J7:J19">H7-(H7*0.05)</f>
        <v>71250</v>
      </c>
      <c r="K7" s="10">
        <f aca="true" t="shared" si="3" ref="K7:K19">J7+(J7*0.05)</f>
        <v>74812.5</v>
      </c>
      <c r="L7" s="11">
        <v>75000</v>
      </c>
      <c r="M7" s="10">
        <v>75000</v>
      </c>
      <c r="N7" s="11">
        <v>75000</v>
      </c>
      <c r="O7" s="10">
        <v>75000</v>
      </c>
      <c r="P7" s="11">
        <f aca="true" t="shared" si="4" ref="P7:P20">SUM(D7:O7)</f>
        <v>856204.5</v>
      </c>
      <c r="Q7" s="5"/>
      <c r="R7" s="12" t="s">
        <v>18</v>
      </c>
      <c r="S7" s="4"/>
      <c r="T7" s="4"/>
      <c r="U7" s="4"/>
      <c r="V7" s="4"/>
    </row>
    <row r="8" spans="1:22" ht="15.75">
      <c r="A8" s="4"/>
      <c r="B8" s="12" t="s">
        <v>19</v>
      </c>
      <c r="C8" s="8">
        <v>38547.27</v>
      </c>
      <c r="D8" s="9">
        <v>35000</v>
      </c>
      <c r="E8" s="10">
        <v>32000</v>
      </c>
      <c r="F8" s="11">
        <f t="shared" si="0"/>
        <v>24000</v>
      </c>
      <c r="G8" s="10">
        <v>19000</v>
      </c>
      <c r="H8" s="11">
        <v>34000</v>
      </c>
      <c r="I8" s="10">
        <f t="shared" si="1"/>
        <v>35700</v>
      </c>
      <c r="J8" s="11">
        <f t="shared" si="2"/>
        <v>32300</v>
      </c>
      <c r="K8" s="10">
        <f t="shared" si="3"/>
        <v>33915</v>
      </c>
      <c r="L8" s="11">
        <v>34000</v>
      </c>
      <c r="M8" s="10">
        <v>34000</v>
      </c>
      <c r="N8" s="11">
        <v>34000</v>
      </c>
      <c r="O8" s="10">
        <v>34000</v>
      </c>
      <c r="P8" s="11">
        <f t="shared" si="4"/>
        <v>381915</v>
      </c>
      <c r="Q8" s="5"/>
      <c r="R8" s="12" t="s">
        <v>19</v>
      </c>
      <c r="S8" s="4"/>
      <c r="T8" s="4"/>
      <c r="U8" s="4"/>
      <c r="V8" s="4"/>
    </row>
    <row r="9" spans="1:22" ht="15.75">
      <c r="A9" s="4"/>
      <c r="B9" s="12" t="s">
        <v>20</v>
      </c>
      <c r="C9" s="8">
        <v>40585.85</v>
      </c>
      <c r="D9" s="9">
        <v>40000</v>
      </c>
      <c r="E9" s="10">
        <v>37000</v>
      </c>
      <c r="F9" s="11">
        <f t="shared" si="0"/>
        <v>27749.999999999996</v>
      </c>
      <c r="G9" s="10">
        <v>21000</v>
      </c>
      <c r="H9" s="11">
        <v>37000</v>
      </c>
      <c r="I9" s="10">
        <f t="shared" si="1"/>
        <v>38850</v>
      </c>
      <c r="J9" s="11">
        <f t="shared" si="2"/>
        <v>35150</v>
      </c>
      <c r="K9" s="10">
        <f t="shared" si="3"/>
        <v>36907.5</v>
      </c>
      <c r="L9" s="11">
        <v>37000</v>
      </c>
      <c r="M9" s="10">
        <v>37000</v>
      </c>
      <c r="N9" s="11">
        <v>37000</v>
      </c>
      <c r="O9" s="10">
        <v>37000</v>
      </c>
      <c r="P9" s="11">
        <f t="shared" si="4"/>
        <v>421657.5</v>
      </c>
      <c r="Q9" s="5"/>
      <c r="R9" s="12" t="s">
        <v>20</v>
      </c>
      <c r="S9" s="4"/>
      <c r="T9" s="4"/>
      <c r="U9" s="4"/>
      <c r="V9" s="4"/>
    </row>
    <row r="10" spans="1:22" ht="15.75">
      <c r="A10" s="4"/>
      <c r="B10" s="12" t="s">
        <v>21</v>
      </c>
      <c r="C10" s="8">
        <v>9429.94</v>
      </c>
      <c r="D10" s="9">
        <v>8000</v>
      </c>
      <c r="E10" s="10">
        <v>7000</v>
      </c>
      <c r="F10" s="11">
        <f t="shared" si="0"/>
        <v>5250</v>
      </c>
      <c r="G10" s="10">
        <v>4000</v>
      </c>
      <c r="H10" s="11">
        <v>7000</v>
      </c>
      <c r="I10" s="10">
        <f t="shared" si="1"/>
        <v>7350</v>
      </c>
      <c r="J10" s="11">
        <f t="shared" si="2"/>
        <v>6650</v>
      </c>
      <c r="K10" s="10">
        <f t="shared" si="3"/>
        <v>6982.5</v>
      </c>
      <c r="L10" s="11">
        <v>7000</v>
      </c>
      <c r="M10" s="10">
        <v>7000</v>
      </c>
      <c r="N10" s="11">
        <v>7000</v>
      </c>
      <c r="O10" s="10">
        <v>7000</v>
      </c>
      <c r="P10" s="11">
        <f t="shared" si="4"/>
        <v>80232.5</v>
      </c>
      <c r="Q10" s="5"/>
      <c r="R10" s="12" t="s">
        <v>21</v>
      </c>
      <c r="S10" s="4"/>
      <c r="T10" s="4"/>
      <c r="U10" s="4"/>
      <c r="V10" s="4"/>
    </row>
    <row r="11" spans="1:22" ht="15.75">
      <c r="A11" s="4"/>
      <c r="B11" s="12" t="s">
        <v>22</v>
      </c>
      <c r="C11" s="8">
        <v>4904.19</v>
      </c>
      <c r="D11" s="9">
        <v>6000</v>
      </c>
      <c r="E11" s="10">
        <v>5000</v>
      </c>
      <c r="F11" s="11">
        <f t="shared" si="0"/>
        <v>3750.0000000000005</v>
      </c>
      <c r="G11" s="10">
        <v>800</v>
      </c>
      <c r="H11" s="11">
        <v>3200</v>
      </c>
      <c r="I11" s="10">
        <f t="shared" si="1"/>
        <v>3360</v>
      </c>
      <c r="J11" s="11">
        <f t="shared" si="2"/>
        <v>3040</v>
      </c>
      <c r="K11" s="10">
        <f t="shared" si="3"/>
        <v>3192</v>
      </c>
      <c r="L11" s="11">
        <v>3200</v>
      </c>
      <c r="M11" s="10">
        <v>3200</v>
      </c>
      <c r="N11" s="11">
        <v>3200</v>
      </c>
      <c r="O11" s="10">
        <v>3200</v>
      </c>
      <c r="P11" s="11">
        <f t="shared" si="4"/>
        <v>41142</v>
      </c>
      <c r="Q11" s="5"/>
      <c r="R11" s="12" t="s">
        <v>22</v>
      </c>
      <c r="S11" s="4"/>
      <c r="T11" s="4"/>
      <c r="U11" s="4"/>
      <c r="V11" s="4"/>
    </row>
    <row r="12" spans="1:22" ht="15.75">
      <c r="A12" s="4"/>
      <c r="B12" s="14" t="s">
        <v>23</v>
      </c>
      <c r="C12" s="8">
        <v>2976.38</v>
      </c>
      <c r="D12" s="9">
        <v>2500</v>
      </c>
      <c r="E12" s="10">
        <v>2300</v>
      </c>
      <c r="F12" s="11">
        <f t="shared" si="0"/>
        <v>1725</v>
      </c>
      <c r="G12" s="10">
        <v>1300</v>
      </c>
      <c r="H12" s="11">
        <v>2300</v>
      </c>
      <c r="I12" s="10">
        <f t="shared" si="1"/>
        <v>2415</v>
      </c>
      <c r="J12" s="11">
        <f t="shared" si="2"/>
        <v>2185</v>
      </c>
      <c r="K12" s="10">
        <f t="shared" si="3"/>
        <v>2294.25</v>
      </c>
      <c r="L12" s="11">
        <v>2300</v>
      </c>
      <c r="M12" s="10">
        <v>2300</v>
      </c>
      <c r="N12" s="11">
        <v>2300</v>
      </c>
      <c r="O12" s="10">
        <v>2300</v>
      </c>
      <c r="P12" s="11">
        <f t="shared" si="4"/>
        <v>26219.25</v>
      </c>
      <c r="Q12" s="5"/>
      <c r="R12" s="14" t="s">
        <v>23</v>
      </c>
      <c r="S12" s="4"/>
      <c r="T12" s="4"/>
      <c r="U12" s="4"/>
      <c r="V12" s="4"/>
    </row>
    <row r="13" spans="1:22" ht="15.75">
      <c r="A13" s="4"/>
      <c r="B13" s="143" t="s">
        <v>24</v>
      </c>
      <c r="C13" s="8">
        <v>15259.3</v>
      </c>
      <c r="D13" s="9">
        <v>13000</v>
      </c>
      <c r="E13" s="10">
        <v>11000</v>
      </c>
      <c r="F13" s="11">
        <f t="shared" si="0"/>
        <v>8250</v>
      </c>
      <c r="G13" s="10">
        <v>0</v>
      </c>
      <c r="H13" s="11">
        <v>0</v>
      </c>
      <c r="I13" s="10">
        <f t="shared" si="1"/>
        <v>0</v>
      </c>
      <c r="J13" s="11">
        <f t="shared" si="2"/>
        <v>0</v>
      </c>
      <c r="K13" s="10">
        <f t="shared" si="3"/>
        <v>0</v>
      </c>
      <c r="L13" s="11">
        <v>0</v>
      </c>
      <c r="M13" s="10">
        <v>0</v>
      </c>
      <c r="N13" s="11">
        <v>0</v>
      </c>
      <c r="O13" s="10">
        <v>0</v>
      </c>
      <c r="P13" s="8">
        <f t="shared" si="4"/>
        <v>32250</v>
      </c>
      <c r="Q13" s="5"/>
      <c r="R13" s="12" t="s">
        <v>24</v>
      </c>
      <c r="S13" s="4"/>
      <c r="T13" s="4"/>
      <c r="U13" s="4"/>
      <c r="V13" s="4"/>
    </row>
    <row r="14" spans="1:22" ht="15.75">
      <c r="A14" s="4"/>
      <c r="B14" s="143" t="s">
        <v>25</v>
      </c>
      <c r="C14" s="8">
        <v>7650</v>
      </c>
      <c r="D14" s="9">
        <v>2000</v>
      </c>
      <c r="E14" s="10">
        <v>500</v>
      </c>
      <c r="F14" s="11">
        <f t="shared" si="0"/>
        <v>375</v>
      </c>
      <c r="G14" s="10">
        <v>0</v>
      </c>
      <c r="H14" s="11">
        <v>0</v>
      </c>
      <c r="I14" s="10">
        <f t="shared" si="1"/>
        <v>0</v>
      </c>
      <c r="J14" s="11">
        <f t="shared" si="2"/>
        <v>0</v>
      </c>
      <c r="K14" s="10">
        <f t="shared" si="3"/>
        <v>0</v>
      </c>
      <c r="L14" s="11">
        <v>0</v>
      </c>
      <c r="M14" s="10">
        <v>0</v>
      </c>
      <c r="N14" s="11">
        <v>0</v>
      </c>
      <c r="O14" s="10">
        <v>0</v>
      </c>
      <c r="P14" s="8">
        <f t="shared" si="4"/>
        <v>2875</v>
      </c>
      <c r="Q14" s="5"/>
      <c r="R14" s="12" t="s">
        <v>25</v>
      </c>
      <c r="S14" s="4"/>
      <c r="T14" s="4"/>
      <c r="U14" s="4"/>
      <c r="V14" s="4"/>
    </row>
    <row r="15" spans="1:22" ht="15.75">
      <c r="A15" s="4"/>
      <c r="B15" s="143" t="s">
        <v>26</v>
      </c>
      <c r="C15" s="8">
        <v>188</v>
      </c>
      <c r="D15" s="9">
        <v>100</v>
      </c>
      <c r="E15" s="10">
        <v>100</v>
      </c>
      <c r="F15" s="11">
        <f t="shared" si="0"/>
        <v>75</v>
      </c>
      <c r="G15" s="10">
        <v>0</v>
      </c>
      <c r="H15" s="11">
        <v>0</v>
      </c>
      <c r="I15" s="10">
        <f t="shared" si="1"/>
        <v>0</v>
      </c>
      <c r="J15" s="11">
        <f t="shared" si="2"/>
        <v>0</v>
      </c>
      <c r="K15" s="10">
        <f t="shared" si="3"/>
        <v>0</v>
      </c>
      <c r="L15" s="11">
        <v>0</v>
      </c>
      <c r="M15" s="10">
        <v>0</v>
      </c>
      <c r="N15" s="11">
        <v>0</v>
      </c>
      <c r="O15" s="10">
        <v>0</v>
      </c>
      <c r="P15" s="8">
        <f t="shared" si="4"/>
        <v>275</v>
      </c>
      <c r="Q15" s="5"/>
      <c r="R15" s="12" t="s">
        <v>26</v>
      </c>
      <c r="S15" s="4"/>
      <c r="T15" s="4"/>
      <c r="U15" s="4"/>
      <c r="V15" s="4"/>
    </row>
    <row r="16" spans="1:22" ht="15.75">
      <c r="A16" s="4"/>
      <c r="B16" s="143" t="s">
        <v>27</v>
      </c>
      <c r="C16" s="8">
        <v>-4500</v>
      </c>
      <c r="D16" s="9">
        <v>200</v>
      </c>
      <c r="E16" s="10">
        <v>200</v>
      </c>
      <c r="F16" s="11">
        <f t="shared" si="0"/>
        <v>150</v>
      </c>
      <c r="G16" s="10">
        <v>0</v>
      </c>
      <c r="H16" s="11">
        <v>0</v>
      </c>
      <c r="I16" s="10">
        <f t="shared" si="1"/>
        <v>0</v>
      </c>
      <c r="J16" s="11">
        <f t="shared" si="2"/>
        <v>0</v>
      </c>
      <c r="K16" s="10">
        <f t="shared" si="3"/>
        <v>0</v>
      </c>
      <c r="L16" s="11">
        <v>0</v>
      </c>
      <c r="M16" s="10">
        <v>0</v>
      </c>
      <c r="N16" s="11">
        <v>0</v>
      </c>
      <c r="O16" s="10">
        <v>0</v>
      </c>
      <c r="P16" s="8">
        <f t="shared" si="4"/>
        <v>550</v>
      </c>
      <c r="Q16" s="5"/>
      <c r="R16" s="12" t="s">
        <v>27</v>
      </c>
      <c r="S16" s="4"/>
      <c r="T16" s="4"/>
      <c r="U16" s="4"/>
      <c r="V16" s="4"/>
    </row>
    <row r="17" spans="1:22" ht="15.75">
      <c r="A17" s="4"/>
      <c r="B17" s="12" t="s">
        <v>140</v>
      </c>
      <c r="C17" s="8">
        <v>50</v>
      </c>
      <c r="D17" s="9">
        <v>0</v>
      </c>
      <c r="E17" s="10">
        <v>0</v>
      </c>
      <c r="F17" s="11">
        <f t="shared" si="0"/>
        <v>0</v>
      </c>
      <c r="G17" s="10">
        <f>(E17/28)*14</f>
        <v>0</v>
      </c>
      <c r="H17" s="11">
        <v>300</v>
      </c>
      <c r="I17" s="10">
        <f t="shared" si="1"/>
        <v>315</v>
      </c>
      <c r="J17" s="11">
        <f t="shared" si="2"/>
        <v>285</v>
      </c>
      <c r="K17" s="10">
        <f t="shared" si="3"/>
        <v>299.25</v>
      </c>
      <c r="L17" s="11">
        <v>300</v>
      </c>
      <c r="M17" s="10">
        <v>300</v>
      </c>
      <c r="N17" s="11">
        <v>300</v>
      </c>
      <c r="O17" s="10">
        <v>300</v>
      </c>
      <c r="P17" s="11">
        <f t="shared" si="4"/>
        <v>2399.25</v>
      </c>
      <c r="Q17" s="5"/>
      <c r="R17" s="12" t="s">
        <v>28</v>
      </c>
      <c r="S17" s="4"/>
      <c r="T17" s="4"/>
      <c r="U17" s="4"/>
      <c r="V17" s="4"/>
    </row>
    <row r="18" spans="1:22" ht="15.75">
      <c r="A18" s="4"/>
      <c r="B18" s="12" t="s">
        <v>29</v>
      </c>
      <c r="C18" s="8">
        <v>70</v>
      </c>
      <c r="D18" s="9">
        <v>100</v>
      </c>
      <c r="E18" s="10">
        <v>100</v>
      </c>
      <c r="F18" s="11">
        <f t="shared" si="0"/>
        <v>75</v>
      </c>
      <c r="G18" s="10">
        <f>(E18/28)*14</f>
        <v>50</v>
      </c>
      <c r="H18" s="11">
        <v>200</v>
      </c>
      <c r="I18" s="10">
        <f t="shared" si="1"/>
        <v>210</v>
      </c>
      <c r="J18" s="11">
        <f t="shared" si="2"/>
        <v>190</v>
      </c>
      <c r="K18" s="10" t="s">
        <v>172</v>
      </c>
      <c r="L18" s="11">
        <v>200</v>
      </c>
      <c r="M18" s="10">
        <v>200</v>
      </c>
      <c r="N18" s="11">
        <v>200</v>
      </c>
      <c r="O18" s="10">
        <v>200</v>
      </c>
      <c r="P18" s="11">
        <f t="shared" si="4"/>
        <v>1725</v>
      </c>
      <c r="Q18" s="5"/>
      <c r="R18" s="12" t="s">
        <v>29</v>
      </c>
      <c r="S18" s="4"/>
      <c r="T18" s="4"/>
      <c r="U18" s="4"/>
      <c r="V18" s="4"/>
    </row>
    <row r="19" spans="1:22" ht="15.75">
      <c r="A19" s="4"/>
      <c r="B19" s="12" t="s">
        <v>30</v>
      </c>
      <c r="C19" s="8">
        <v>-2441.5</v>
      </c>
      <c r="D19" s="9">
        <v>-900</v>
      </c>
      <c r="E19" s="10">
        <v>-900</v>
      </c>
      <c r="F19" s="11">
        <f t="shared" si="0"/>
        <v>-675.0000000000001</v>
      </c>
      <c r="G19" s="10">
        <f>(E19/28)*14</f>
        <v>-450.00000000000006</v>
      </c>
      <c r="H19" s="11">
        <v>-1000</v>
      </c>
      <c r="I19" s="10">
        <f t="shared" si="1"/>
        <v>-1050</v>
      </c>
      <c r="J19" s="11">
        <f t="shared" si="2"/>
        <v>-950</v>
      </c>
      <c r="K19" s="10">
        <f t="shared" si="3"/>
        <v>-997.5</v>
      </c>
      <c r="L19" s="11">
        <v>-1000</v>
      </c>
      <c r="M19" s="10">
        <v>-1000</v>
      </c>
      <c r="N19" s="11">
        <v>-1000</v>
      </c>
      <c r="O19" s="10">
        <v>-1000</v>
      </c>
      <c r="P19" s="11">
        <f t="shared" si="4"/>
        <v>-10922.5</v>
      </c>
      <c r="Q19" s="5"/>
      <c r="R19" s="12" t="s">
        <v>30</v>
      </c>
      <c r="S19" s="4"/>
      <c r="T19" s="4"/>
      <c r="U19" s="4"/>
      <c r="V19" s="4"/>
    </row>
    <row r="20" spans="2:18" s="35" customFormat="1" ht="27" customHeight="1">
      <c r="B20" s="37" t="s">
        <v>156</v>
      </c>
      <c r="C20" s="36">
        <f>SUM(C7:C19)</f>
        <v>201660.38</v>
      </c>
      <c r="D20" s="36">
        <f aca="true" t="shared" si="5" ref="D20:O20">SUM(D7:D19)</f>
        <v>184000</v>
      </c>
      <c r="E20" s="36">
        <f t="shared" si="5"/>
        <v>169300</v>
      </c>
      <c r="F20" s="36">
        <f t="shared" si="5"/>
        <v>126975</v>
      </c>
      <c r="G20" s="36">
        <f t="shared" si="5"/>
        <v>92842</v>
      </c>
      <c r="H20" s="36">
        <f t="shared" si="5"/>
        <v>158000</v>
      </c>
      <c r="I20" s="36">
        <f t="shared" si="5"/>
        <v>165900</v>
      </c>
      <c r="J20" s="36">
        <f t="shared" si="5"/>
        <v>150100</v>
      </c>
      <c r="K20" s="36">
        <f t="shared" si="5"/>
        <v>157405.5</v>
      </c>
      <c r="L20" s="36">
        <f t="shared" si="5"/>
        <v>158000</v>
      </c>
      <c r="M20" s="36">
        <f t="shared" si="5"/>
        <v>158000</v>
      </c>
      <c r="N20" s="36">
        <f t="shared" si="5"/>
        <v>158000</v>
      </c>
      <c r="O20" s="36">
        <f t="shared" si="5"/>
        <v>158000</v>
      </c>
      <c r="P20" s="36">
        <f t="shared" si="4"/>
        <v>1836522.5</v>
      </c>
      <c r="Q20" s="57">
        <f>P20/P20</f>
        <v>1</v>
      </c>
      <c r="R20" s="37" t="s">
        <v>31</v>
      </c>
    </row>
    <row r="21" spans="2:18" s="43" customFormat="1" ht="27" customHeight="1" thickBo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44"/>
    </row>
    <row r="22" spans="2:18" s="51" customFormat="1" ht="20.25" customHeight="1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52"/>
    </row>
    <row r="23" spans="2:18" s="47" customFormat="1" ht="7.5" customHeigh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R23" s="48"/>
    </row>
    <row r="24" spans="1:22" ht="15.75">
      <c r="A24" s="4"/>
      <c r="B24" s="55" t="s">
        <v>157</v>
      </c>
      <c r="C24" s="8"/>
      <c r="D24" s="9"/>
      <c r="E24" s="10"/>
      <c r="F24" s="11"/>
      <c r="G24" s="10"/>
      <c r="H24" s="11"/>
      <c r="I24" s="10"/>
      <c r="J24" s="11"/>
      <c r="K24" s="10"/>
      <c r="L24" s="11"/>
      <c r="M24" s="10"/>
      <c r="N24" s="11"/>
      <c r="O24" s="10"/>
      <c r="P24" s="11"/>
      <c r="Q24" s="5"/>
      <c r="R24" s="14"/>
      <c r="S24" s="4"/>
      <c r="T24" s="4"/>
      <c r="U24" s="4"/>
      <c r="V24" s="4"/>
    </row>
    <row r="25" spans="1:22" ht="15.75">
      <c r="A25" s="4"/>
      <c r="B25" s="20" t="s">
        <v>234</v>
      </c>
      <c r="C25" s="8">
        <v>24555.39</v>
      </c>
      <c r="D25" s="9">
        <f>0.3*D7</f>
        <v>23400</v>
      </c>
      <c r="E25" s="10">
        <f>0.32*E7</f>
        <v>24000</v>
      </c>
      <c r="F25" s="11">
        <f>0.32*F7</f>
        <v>18000</v>
      </c>
      <c r="G25" s="10">
        <f>0.27*G7</f>
        <v>12728.34</v>
      </c>
      <c r="H25" s="11">
        <f aca="true" t="shared" si="6" ref="H25:O25">0.27*H7</f>
        <v>20250</v>
      </c>
      <c r="I25" s="10">
        <f t="shared" si="6"/>
        <v>21262.5</v>
      </c>
      <c r="J25" s="11">
        <f t="shared" si="6"/>
        <v>19237.5</v>
      </c>
      <c r="K25" s="10">
        <f t="shared" si="6"/>
        <v>20199.375</v>
      </c>
      <c r="L25" s="11">
        <f t="shared" si="6"/>
        <v>20250</v>
      </c>
      <c r="M25" s="10">
        <f t="shared" si="6"/>
        <v>20250</v>
      </c>
      <c r="N25" s="11">
        <f t="shared" si="6"/>
        <v>20250</v>
      </c>
      <c r="O25" s="10">
        <f t="shared" si="6"/>
        <v>20250</v>
      </c>
      <c r="P25" s="11">
        <f aca="true" t="shared" si="7" ref="P25:P31">SUM(D25:O25)</f>
        <v>240077.715</v>
      </c>
      <c r="Q25" s="5">
        <f>P25/P7</f>
        <v>0.2803976328085171</v>
      </c>
      <c r="R25" s="20" t="s">
        <v>32</v>
      </c>
      <c r="S25" s="4"/>
      <c r="T25" s="4"/>
      <c r="U25" s="4"/>
      <c r="V25" s="4"/>
    </row>
    <row r="26" spans="1:22" ht="15.75">
      <c r="A26" s="4"/>
      <c r="B26" s="14" t="s">
        <v>33</v>
      </c>
      <c r="C26" s="8">
        <v>8653.36</v>
      </c>
      <c r="D26" s="9">
        <f>0.23*D8</f>
        <v>8050</v>
      </c>
      <c r="E26" s="10">
        <v>7000</v>
      </c>
      <c r="F26" s="11">
        <v>4520</v>
      </c>
      <c r="G26" s="10">
        <f aca="true" t="shared" si="8" ref="G26:O26">0.23*G8</f>
        <v>4370</v>
      </c>
      <c r="H26" s="11">
        <f t="shared" si="8"/>
        <v>7820</v>
      </c>
      <c r="I26" s="10">
        <f t="shared" si="8"/>
        <v>8211</v>
      </c>
      <c r="J26" s="11">
        <f t="shared" si="8"/>
        <v>7429</v>
      </c>
      <c r="K26" s="10">
        <f t="shared" si="8"/>
        <v>7800.450000000001</v>
      </c>
      <c r="L26" s="11">
        <f t="shared" si="8"/>
        <v>7820</v>
      </c>
      <c r="M26" s="10">
        <f t="shared" si="8"/>
        <v>7820</v>
      </c>
      <c r="N26" s="11">
        <f t="shared" si="8"/>
        <v>7820</v>
      </c>
      <c r="O26" s="10">
        <f t="shared" si="8"/>
        <v>7820</v>
      </c>
      <c r="P26" s="11">
        <f t="shared" si="7"/>
        <v>86480.45</v>
      </c>
      <c r="Q26" s="5">
        <f>P26/P8</f>
        <v>0.22643899820640717</v>
      </c>
      <c r="R26" s="14" t="s">
        <v>34</v>
      </c>
      <c r="S26" s="4"/>
      <c r="T26" s="4"/>
      <c r="U26" s="4"/>
      <c r="V26" s="4"/>
    </row>
    <row r="27" spans="1:22" ht="15.75">
      <c r="A27" s="4"/>
      <c r="B27" s="14" t="s">
        <v>35</v>
      </c>
      <c r="C27" s="8">
        <v>9508.52</v>
      </c>
      <c r="D27" s="9">
        <f>0.25*D9</f>
        <v>10000</v>
      </c>
      <c r="E27" s="10">
        <v>8500</v>
      </c>
      <c r="F27" s="11">
        <v>5500</v>
      </c>
      <c r="G27" s="10">
        <f aca="true" t="shared" si="9" ref="G27:O27">0.25*G9</f>
        <v>5250</v>
      </c>
      <c r="H27" s="11">
        <f t="shared" si="9"/>
        <v>9250</v>
      </c>
      <c r="I27" s="10">
        <f t="shared" si="9"/>
        <v>9712.5</v>
      </c>
      <c r="J27" s="11">
        <f t="shared" si="9"/>
        <v>8787.5</v>
      </c>
      <c r="K27" s="10">
        <f t="shared" si="9"/>
        <v>9226.875</v>
      </c>
      <c r="L27" s="11">
        <f t="shared" si="9"/>
        <v>9250</v>
      </c>
      <c r="M27" s="10">
        <f t="shared" si="9"/>
        <v>9250</v>
      </c>
      <c r="N27" s="11">
        <f t="shared" si="9"/>
        <v>9250</v>
      </c>
      <c r="O27" s="10">
        <f t="shared" si="9"/>
        <v>9250</v>
      </c>
      <c r="P27" s="11">
        <f t="shared" si="7"/>
        <v>103226.875</v>
      </c>
      <c r="Q27" s="5">
        <f>P27/P9</f>
        <v>0.2448121401848657</v>
      </c>
      <c r="R27" s="14" t="s">
        <v>36</v>
      </c>
      <c r="S27" s="4"/>
      <c r="T27" s="4"/>
      <c r="U27" s="4"/>
      <c r="V27" s="4"/>
    </row>
    <row r="28" spans="1:22" ht="15.75">
      <c r="A28" s="4"/>
      <c r="B28" s="20" t="s">
        <v>37</v>
      </c>
      <c r="C28" s="8">
        <v>2575.82</v>
      </c>
      <c r="D28" s="9">
        <f>0.28*D10</f>
        <v>2240</v>
      </c>
      <c r="E28" s="10">
        <v>1500</v>
      </c>
      <c r="F28" s="11">
        <v>1000</v>
      </c>
      <c r="G28" s="10">
        <f aca="true" t="shared" si="10" ref="G28:O28">0.28*G10</f>
        <v>1120</v>
      </c>
      <c r="H28" s="11">
        <f t="shared" si="10"/>
        <v>1960.0000000000002</v>
      </c>
      <c r="I28" s="10">
        <f t="shared" si="10"/>
        <v>2058</v>
      </c>
      <c r="J28" s="11">
        <f t="shared" si="10"/>
        <v>1862.0000000000002</v>
      </c>
      <c r="K28" s="10">
        <f t="shared" si="10"/>
        <v>1955.1000000000001</v>
      </c>
      <c r="L28" s="11">
        <f t="shared" si="10"/>
        <v>1960.0000000000002</v>
      </c>
      <c r="M28" s="10">
        <f t="shared" si="10"/>
        <v>1960.0000000000002</v>
      </c>
      <c r="N28" s="11">
        <f t="shared" si="10"/>
        <v>1960.0000000000002</v>
      </c>
      <c r="O28" s="10">
        <f t="shared" si="10"/>
        <v>1960.0000000000002</v>
      </c>
      <c r="P28" s="11">
        <f t="shared" si="7"/>
        <v>21535.100000000002</v>
      </c>
      <c r="Q28" s="5">
        <f>P28/P10</f>
        <v>0.268408687252672</v>
      </c>
      <c r="R28" s="20" t="s">
        <v>38</v>
      </c>
      <c r="S28" s="4"/>
      <c r="T28" s="4"/>
      <c r="U28" s="4"/>
      <c r="V28" s="4"/>
    </row>
    <row r="29" spans="1:22" ht="15.75">
      <c r="A29" s="4"/>
      <c r="B29" s="20" t="s">
        <v>23</v>
      </c>
      <c r="C29" s="8">
        <v>1249.29</v>
      </c>
      <c r="D29" s="9">
        <f aca="true" t="shared" si="11" ref="D29:O29">0.349*D12</f>
        <v>872.4999999999999</v>
      </c>
      <c r="E29" s="10">
        <f t="shared" si="11"/>
        <v>802.6999999999999</v>
      </c>
      <c r="F29" s="9">
        <f t="shared" si="11"/>
        <v>602.025</v>
      </c>
      <c r="G29" s="10">
        <f t="shared" si="11"/>
        <v>453.7</v>
      </c>
      <c r="H29" s="9">
        <f t="shared" si="11"/>
        <v>802.6999999999999</v>
      </c>
      <c r="I29" s="10">
        <f t="shared" si="11"/>
        <v>842.8349999999999</v>
      </c>
      <c r="J29" s="9">
        <f t="shared" si="11"/>
        <v>762.5649999999999</v>
      </c>
      <c r="K29" s="10">
        <f t="shared" si="11"/>
        <v>800.6932499999999</v>
      </c>
      <c r="L29" s="9">
        <f t="shared" si="11"/>
        <v>802.6999999999999</v>
      </c>
      <c r="M29" s="10">
        <f t="shared" si="11"/>
        <v>802.6999999999999</v>
      </c>
      <c r="N29" s="9">
        <f t="shared" si="11"/>
        <v>802.6999999999999</v>
      </c>
      <c r="O29" s="10">
        <f t="shared" si="11"/>
        <v>802.6999999999999</v>
      </c>
      <c r="P29" s="11">
        <f t="shared" si="7"/>
        <v>9150.51825</v>
      </c>
      <c r="Q29" s="5">
        <f>P29/P12</f>
        <v>0.349</v>
      </c>
      <c r="R29" s="20"/>
      <c r="S29" s="4"/>
      <c r="T29" s="4"/>
      <c r="U29" s="4"/>
      <c r="V29" s="4"/>
    </row>
    <row r="30" spans="1:22" ht="15.75">
      <c r="A30" s="4"/>
      <c r="B30" s="20" t="s">
        <v>39</v>
      </c>
      <c r="C30" s="8">
        <v>348.36</v>
      </c>
      <c r="D30" s="9">
        <v>300</v>
      </c>
      <c r="E30" s="10">
        <v>300</v>
      </c>
      <c r="F30" s="11">
        <v>301</v>
      </c>
      <c r="G30" s="10">
        <v>300</v>
      </c>
      <c r="H30" s="11">
        <v>300</v>
      </c>
      <c r="I30" s="10">
        <v>300</v>
      </c>
      <c r="J30" s="11">
        <v>300</v>
      </c>
      <c r="K30" s="10">
        <v>300</v>
      </c>
      <c r="L30" s="11">
        <v>300</v>
      </c>
      <c r="M30" s="10">
        <v>300</v>
      </c>
      <c r="N30" s="11">
        <v>300</v>
      </c>
      <c r="O30" s="10">
        <v>300</v>
      </c>
      <c r="P30" s="11">
        <f t="shared" si="7"/>
        <v>3601</v>
      </c>
      <c r="Q30" s="5"/>
      <c r="R30" s="20" t="s">
        <v>39</v>
      </c>
      <c r="S30" s="4"/>
      <c r="T30" s="4"/>
      <c r="U30" s="4"/>
      <c r="V30" s="4"/>
    </row>
    <row r="31" spans="2:18" s="39" customFormat="1" ht="25.5" customHeight="1">
      <c r="B31" s="37" t="s">
        <v>40</v>
      </c>
      <c r="C31" s="36">
        <f>SUM(C25:C30)</f>
        <v>46890.740000000005</v>
      </c>
      <c r="D31" s="36">
        <f aca="true" t="shared" si="12" ref="D31:O31">SUM(D25:D30)</f>
        <v>44862.5</v>
      </c>
      <c r="E31" s="36">
        <f t="shared" si="12"/>
        <v>42102.7</v>
      </c>
      <c r="F31" s="36">
        <f t="shared" si="12"/>
        <v>29923.025</v>
      </c>
      <c r="G31" s="36">
        <f t="shared" si="12"/>
        <v>24222.04</v>
      </c>
      <c r="H31" s="36">
        <f t="shared" si="12"/>
        <v>40382.7</v>
      </c>
      <c r="I31" s="36">
        <f t="shared" si="12"/>
        <v>42386.835</v>
      </c>
      <c r="J31" s="36">
        <f t="shared" si="12"/>
        <v>38378.565</v>
      </c>
      <c r="K31" s="36">
        <f t="shared" si="12"/>
        <v>40282.49324999999</v>
      </c>
      <c r="L31" s="36">
        <f t="shared" si="12"/>
        <v>40382.7</v>
      </c>
      <c r="M31" s="36">
        <f t="shared" si="12"/>
        <v>40382.7</v>
      </c>
      <c r="N31" s="36">
        <f t="shared" si="12"/>
        <v>40382.7</v>
      </c>
      <c r="O31" s="36">
        <f t="shared" si="12"/>
        <v>40382.7</v>
      </c>
      <c r="P31" s="36">
        <f t="shared" si="7"/>
        <v>464071.65825000004</v>
      </c>
      <c r="Q31" s="57">
        <f>P31/P20</f>
        <v>0.25269042892205246</v>
      </c>
      <c r="R31" s="37" t="s">
        <v>40</v>
      </c>
    </row>
    <row r="32" spans="1:22" ht="15.75">
      <c r="A32" s="4"/>
      <c r="B32" s="14"/>
      <c r="C32" s="8"/>
      <c r="D32" s="9"/>
      <c r="E32" s="10"/>
      <c r="F32" s="11"/>
      <c r="G32" s="10"/>
      <c r="H32" s="11"/>
      <c r="I32" s="10"/>
      <c r="J32" s="11"/>
      <c r="K32" s="10"/>
      <c r="L32" s="11"/>
      <c r="M32" s="10"/>
      <c r="N32" s="11"/>
      <c r="O32" s="10"/>
      <c r="P32" s="11"/>
      <c r="Q32" s="5"/>
      <c r="R32" s="14"/>
      <c r="S32" s="4"/>
      <c r="T32" s="4"/>
      <c r="U32" s="4"/>
      <c r="V32" s="4"/>
    </row>
    <row r="33" spans="1:22" ht="15.75">
      <c r="A33" s="4"/>
      <c r="B33" s="38" t="s">
        <v>41</v>
      </c>
      <c r="C33" s="8"/>
      <c r="D33" s="9"/>
      <c r="E33" s="10"/>
      <c r="F33" s="11"/>
      <c r="G33" s="10"/>
      <c r="H33" s="11"/>
      <c r="I33" s="10"/>
      <c r="J33" s="11"/>
      <c r="K33" s="10"/>
      <c r="L33" s="11"/>
      <c r="M33" s="10"/>
      <c r="N33" s="11"/>
      <c r="O33" s="10"/>
      <c r="P33" s="11"/>
      <c r="Q33" s="5"/>
      <c r="R33" s="22" t="s">
        <v>41</v>
      </c>
      <c r="S33" s="4"/>
      <c r="T33" s="4"/>
      <c r="U33" s="4"/>
      <c r="V33" s="4"/>
    </row>
    <row r="34" spans="1:22" s="243" customFormat="1" ht="15.75">
      <c r="A34" s="235"/>
      <c r="B34" s="244" t="s">
        <v>216</v>
      </c>
      <c r="C34" s="245">
        <v>3000</v>
      </c>
      <c r="D34" s="245">
        <v>3000</v>
      </c>
      <c r="E34" s="245">
        <v>3000</v>
      </c>
      <c r="F34" s="245">
        <v>3000</v>
      </c>
      <c r="G34" s="245">
        <v>3000</v>
      </c>
      <c r="H34" s="245">
        <v>3000</v>
      </c>
      <c r="I34" s="245">
        <v>3000</v>
      </c>
      <c r="J34" s="245">
        <v>3000</v>
      </c>
      <c r="K34" s="245">
        <v>3000</v>
      </c>
      <c r="L34" s="245">
        <v>3000</v>
      </c>
      <c r="M34" s="245">
        <v>3000</v>
      </c>
      <c r="N34" s="245">
        <v>3000</v>
      </c>
      <c r="O34" s="245">
        <v>3000</v>
      </c>
      <c r="P34" s="237">
        <f aca="true" t="shared" si="13" ref="P34:P45">SUM(D34:O34)</f>
        <v>36000</v>
      </c>
      <c r="Q34" s="242"/>
      <c r="R34" s="244" t="s">
        <v>216</v>
      </c>
      <c r="S34" s="235"/>
      <c r="T34" s="235"/>
      <c r="U34" s="235"/>
      <c r="V34" s="235"/>
    </row>
    <row r="35" spans="1:22" ht="15.75">
      <c r="A35" s="4"/>
      <c r="B35" s="20" t="s">
        <v>42</v>
      </c>
      <c r="C35" s="8">
        <v>29871.55</v>
      </c>
      <c r="D35" s="9">
        <v>26500</v>
      </c>
      <c r="E35" s="10">
        <v>24217</v>
      </c>
      <c r="F35" s="11">
        <v>24217</v>
      </c>
      <c r="G35" s="10">
        <v>9000</v>
      </c>
      <c r="H35" s="11">
        <v>11667</v>
      </c>
      <c r="I35" s="10">
        <f aca="true" t="shared" si="14" ref="I35:I44">H35+(H35*0.05)</f>
        <v>12250.35</v>
      </c>
      <c r="J35" s="11">
        <f aca="true" t="shared" si="15" ref="J35:J44">H35-(H35*0.05)</f>
        <v>11083.65</v>
      </c>
      <c r="K35" s="10">
        <f aca="true" t="shared" si="16" ref="K35:K44">J35+(J35*0.05)</f>
        <v>11637.8325</v>
      </c>
      <c r="L35" s="11">
        <v>11667</v>
      </c>
      <c r="M35" s="10">
        <v>11667</v>
      </c>
      <c r="N35" s="11">
        <v>11667</v>
      </c>
      <c r="O35" s="10">
        <v>11667</v>
      </c>
      <c r="P35" s="11">
        <f t="shared" si="13"/>
        <v>177240.83250000002</v>
      </c>
      <c r="Q35" s="5"/>
      <c r="R35" s="20" t="s">
        <v>42</v>
      </c>
      <c r="S35" s="4"/>
      <c r="T35" s="4"/>
      <c r="U35" s="4"/>
      <c r="V35" s="4"/>
    </row>
    <row r="36" spans="1:22" ht="15.75">
      <c r="A36" s="4"/>
      <c r="B36" s="14" t="s">
        <v>43</v>
      </c>
      <c r="C36" s="8">
        <v>19059.18</v>
      </c>
      <c r="D36" s="9">
        <f>0.1*D20</f>
        <v>18400</v>
      </c>
      <c r="E36" s="10">
        <f>0.11*E20</f>
        <v>18623</v>
      </c>
      <c r="F36" s="11">
        <f aca="true" t="shared" si="17" ref="F36:O36">0.11*F20</f>
        <v>13967.25</v>
      </c>
      <c r="G36" s="10">
        <f t="shared" si="17"/>
        <v>10212.62</v>
      </c>
      <c r="H36" s="11">
        <f t="shared" si="17"/>
        <v>17380</v>
      </c>
      <c r="I36" s="10">
        <f t="shared" si="17"/>
        <v>18249</v>
      </c>
      <c r="J36" s="11">
        <f t="shared" si="17"/>
        <v>16511</v>
      </c>
      <c r="K36" s="10">
        <f t="shared" si="17"/>
        <v>17314.605</v>
      </c>
      <c r="L36" s="11">
        <f t="shared" si="17"/>
        <v>17380</v>
      </c>
      <c r="M36" s="10">
        <f t="shared" si="17"/>
        <v>17380</v>
      </c>
      <c r="N36" s="11">
        <f t="shared" si="17"/>
        <v>17380</v>
      </c>
      <c r="O36" s="10">
        <f t="shared" si="17"/>
        <v>17380</v>
      </c>
      <c r="P36" s="11">
        <f t="shared" si="13"/>
        <v>200177.47499999998</v>
      </c>
      <c r="Q36" s="5"/>
      <c r="R36" s="14" t="s">
        <v>44</v>
      </c>
      <c r="S36" s="4"/>
      <c r="T36" s="4"/>
      <c r="U36" s="4"/>
      <c r="V36" s="4"/>
    </row>
    <row r="37" spans="1:22" ht="15.75">
      <c r="A37" s="4"/>
      <c r="B37" s="20" t="s">
        <v>45</v>
      </c>
      <c r="C37" s="8">
        <v>3641.68</v>
      </c>
      <c r="D37" s="9">
        <v>4966</v>
      </c>
      <c r="E37" s="10">
        <v>4485</v>
      </c>
      <c r="F37" s="11">
        <f aca="true" t="shared" si="18" ref="F37:F44">(D37/31)*21</f>
        <v>3364.064516129032</v>
      </c>
      <c r="G37" s="10">
        <f>'[1]brewery week.month.year'!E24*2</f>
        <v>3062.3076923076924</v>
      </c>
      <c r="H37" s="11">
        <v>6635</v>
      </c>
      <c r="I37" s="10">
        <f t="shared" si="14"/>
        <v>6966.75</v>
      </c>
      <c r="J37" s="11">
        <f t="shared" si="15"/>
        <v>6303.25</v>
      </c>
      <c r="K37" s="10">
        <f t="shared" si="16"/>
        <v>6618.4125</v>
      </c>
      <c r="L37" s="11">
        <v>6635</v>
      </c>
      <c r="M37" s="10">
        <v>6635</v>
      </c>
      <c r="N37" s="11">
        <v>6635</v>
      </c>
      <c r="O37" s="10">
        <v>6635</v>
      </c>
      <c r="P37" s="11">
        <f t="shared" si="13"/>
        <v>68940.78470843672</v>
      </c>
      <c r="Q37" s="5"/>
      <c r="R37" s="20" t="s">
        <v>45</v>
      </c>
      <c r="S37" s="4"/>
      <c r="T37" s="4"/>
      <c r="U37" s="4"/>
      <c r="V37" s="4"/>
    </row>
    <row r="38" spans="1:22" ht="15.75">
      <c r="A38" s="4"/>
      <c r="B38" s="20" t="s">
        <v>24</v>
      </c>
      <c r="C38" s="8">
        <v>2617.44</v>
      </c>
      <c r="D38" s="9">
        <v>2435</v>
      </c>
      <c r="E38" s="10">
        <v>2199</v>
      </c>
      <c r="F38" s="11">
        <f t="shared" si="18"/>
        <v>1649.516129032258</v>
      </c>
      <c r="G38" s="10">
        <v>0</v>
      </c>
      <c r="H38" s="11">
        <v>0</v>
      </c>
      <c r="I38" s="10">
        <f t="shared" si="14"/>
        <v>0</v>
      </c>
      <c r="J38" s="11">
        <f t="shared" si="15"/>
        <v>0</v>
      </c>
      <c r="K38" s="10">
        <f t="shared" si="16"/>
        <v>0</v>
      </c>
      <c r="L38" s="11">
        <v>0</v>
      </c>
      <c r="M38" s="10">
        <v>0</v>
      </c>
      <c r="N38" s="11">
        <v>0</v>
      </c>
      <c r="O38" s="10">
        <v>0</v>
      </c>
      <c r="P38" s="11">
        <f t="shared" si="13"/>
        <v>6283.516129032258</v>
      </c>
      <c r="Q38" s="5"/>
      <c r="R38" s="20"/>
      <c r="S38" s="4"/>
      <c r="T38" s="4"/>
      <c r="U38" s="4"/>
      <c r="V38" s="4"/>
    </row>
    <row r="39" spans="1:22" ht="15.75">
      <c r="A39" s="4"/>
      <c r="B39" s="20" t="s">
        <v>46</v>
      </c>
      <c r="C39" s="8">
        <v>2912.8</v>
      </c>
      <c r="D39" s="9">
        <v>2575</v>
      </c>
      <c r="E39" s="10">
        <v>2326</v>
      </c>
      <c r="F39" s="11">
        <f t="shared" si="18"/>
        <v>1744.3548387096773</v>
      </c>
      <c r="G39" s="10">
        <f>'[1]brewery week.month.year'!E25*2</f>
        <v>1121.076923076923</v>
      </c>
      <c r="H39" s="11">
        <v>2429</v>
      </c>
      <c r="I39" s="10">
        <f t="shared" si="14"/>
        <v>2550.45</v>
      </c>
      <c r="J39" s="11">
        <f t="shared" si="15"/>
        <v>2307.55</v>
      </c>
      <c r="K39" s="10">
        <f t="shared" si="16"/>
        <v>2422.9275000000002</v>
      </c>
      <c r="L39" s="11">
        <v>2429</v>
      </c>
      <c r="M39" s="10">
        <v>2429</v>
      </c>
      <c r="N39" s="11">
        <v>2429</v>
      </c>
      <c r="O39" s="10">
        <v>2429</v>
      </c>
      <c r="P39" s="11">
        <f t="shared" si="13"/>
        <v>27192.3592617866</v>
      </c>
      <c r="Q39" s="5"/>
      <c r="R39" s="20" t="s">
        <v>46</v>
      </c>
      <c r="S39" s="4"/>
      <c r="T39" s="4"/>
      <c r="U39" s="4"/>
      <c r="V39" s="4"/>
    </row>
    <row r="40" spans="1:22" ht="15.75">
      <c r="A40" s="4"/>
      <c r="B40" s="20" t="s">
        <v>47</v>
      </c>
      <c r="C40" s="8">
        <v>3129</v>
      </c>
      <c r="D40" s="9">
        <v>3129</v>
      </c>
      <c r="E40" s="10">
        <v>3129</v>
      </c>
      <c r="F40" s="11">
        <f t="shared" si="18"/>
        <v>2119.6451612903224</v>
      </c>
      <c r="G40" s="10">
        <f>'[1]brewery week.month.year'!E26*2</f>
        <v>1555.8461538461538</v>
      </c>
      <c r="H40" s="11">
        <v>3371</v>
      </c>
      <c r="I40" s="10">
        <f t="shared" si="14"/>
        <v>3539.55</v>
      </c>
      <c r="J40" s="11">
        <f t="shared" si="15"/>
        <v>3202.45</v>
      </c>
      <c r="K40" s="10">
        <f t="shared" si="16"/>
        <v>3362.5724999999998</v>
      </c>
      <c r="L40" s="11">
        <v>3371</v>
      </c>
      <c r="M40" s="10">
        <v>3371</v>
      </c>
      <c r="N40" s="11">
        <v>3371</v>
      </c>
      <c r="O40" s="10">
        <v>3371</v>
      </c>
      <c r="P40" s="11">
        <f t="shared" si="13"/>
        <v>36893.06381513648</v>
      </c>
      <c r="Q40" s="5"/>
      <c r="R40" s="20" t="s">
        <v>47</v>
      </c>
      <c r="S40" s="4"/>
      <c r="T40" s="4"/>
      <c r="U40" s="4"/>
      <c r="V40" s="4"/>
    </row>
    <row r="41" spans="1:22" ht="15.75">
      <c r="A41" s="4"/>
      <c r="B41" s="20" t="s">
        <v>48</v>
      </c>
      <c r="C41" s="8">
        <v>0</v>
      </c>
      <c r="D41" s="9">
        <v>0</v>
      </c>
      <c r="E41" s="10">
        <v>0</v>
      </c>
      <c r="F41" s="11">
        <f t="shared" si="18"/>
        <v>0</v>
      </c>
      <c r="G41" s="10">
        <f>'[1]brewery week.month.year'!E27*2</f>
        <v>369.6923076923077</v>
      </c>
      <c r="H41" s="11">
        <v>801</v>
      </c>
      <c r="I41" s="10">
        <f t="shared" si="14"/>
        <v>841.05</v>
      </c>
      <c r="J41" s="11">
        <f t="shared" si="15"/>
        <v>760.95</v>
      </c>
      <c r="K41" s="10">
        <f t="shared" si="16"/>
        <v>798.9975000000001</v>
      </c>
      <c r="L41" s="11">
        <v>801</v>
      </c>
      <c r="M41" s="10">
        <v>801</v>
      </c>
      <c r="N41" s="11">
        <v>801</v>
      </c>
      <c r="O41" s="10">
        <v>801</v>
      </c>
      <c r="P41" s="11">
        <f t="shared" si="13"/>
        <v>6775.689807692308</v>
      </c>
      <c r="Q41" s="5"/>
      <c r="R41" s="20" t="s">
        <v>48</v>
      </c>
      <c r="S41" s="4"/>
      <c r="T41" s="4"/>
      <c r="U41" s="4"/>
      <c r="V41" s="4"/>
    </row>
    <row r="42" spans="1:22" ht="15.75">
      <c r="A42" s="4"/>
      <c r="B42" s="20" t="s">
        <v>49</v>
      </c>
      <c r="C42" s="8">
        <v>9774.46</v>
      </c>
      <c r="D42" s="9">
        <v>9774</v>
      </c>
      <c r="E42" s="10">
        <v>8359</v>
      </c>
      <c r="F42" s="11">
        <f t="shared" si="18"/>
        <v>6621.096774193549</v>
      </c>
      <c r="G42" s="10">
        <f>'[1]brewery week.month.year'!E28*2</f>
        <v>2037.6923076923076</v>
      </c>
      <c r="H42" s="11">
        <v>4415</v>
      </c>
      <c r="I42" s="10">
        <f t="shared" si="14"/>
        <v>4635.75</v>
      </c>
      <c r="J42" s="11">
        <f t="shared" si="15"/>
        <v>4194.25</v>
      </c>
      <c r="K42" s="10">
        <f t="shared" si="16"/>
        <v>4403.9625</v>
      </c>
      <c r="L42" s="11">
        <v>4415</v>
      </c>
      <c r="M42" s="10">
        <v>4415</v>
      </c>
      <c r="N42" s="11">
        <v>4415</v>
      </c>
      <c r="O42" s="10">
        <v>4415</v>
      </c>
      <c r="P42" s="11">
        <f t="shared" si="13"/>
        <v>62100.75158188586</v>
      </c>
      <c r="Q42" s="5"/>
      <c r="R42" s="20" t="s">
        <v>50</v>
      </c>
      <c r="S42" s="4"/>
      <c r="T42" s="4"/>
      <c r="U42" s="4"/>
      <c r="V42" s="4"/>
    </row>
    <row r="43" spans="1:22" ht="15.75">
      <c r="A43" s="4"/>
      <c r="B43" s="20" t="s">
        <v>51</v>
      </c>
      <c r="C43" s="8">
        <v>794.96</v>
      </c>
      <c r="D43" s="9">
        <v>2116</v>
      </c>
      <c r="E43" s="10">
        <v>0</v>
      </c>
      <c r="F43" s="11">
        <f t="shared" si="18"/>
        <v>1433.4193548387098</v>
      </c>
      <c r="G43" s="10">
        <v>0</v>
      </c>
      <c r="H43" s="11">
        <v>623</v>
      </c>
      <c r="I43" s="10">
        <f t="shared" si="14"/>
        <v>654.15</v>
      </c>
      <c r="J43" s="11">
        <f t="shared" si="15"/>
        <v>591.85</v>
      </c>
      <c r="K43" s="10">
        <f t="shared" si="16"/>
        <v>621.4425</v>
      </c>
      <c r="L43" s="11">
        <v>623</v>
      </c>
      <c r="M43" s="10">
        <v>623</v>
      </c>
      <c r="N43" s="11">
        <v>623</v>
      </c>
      <c r="O43" s="10">
        <v>623</v>
      </c>
      <c r="P43" s="11">
        <f t="shared" si="13"/>
        <v>8531.86185483871</v>
      </c>
      <c r="Q43" s="5"/>
      <c r="R43" s="20" t="s">
        <v>51</v>
      </c>
      <c r="S43" s="4"/>
      <c r="T43" s="4"/>
      <c r="U43" s="4"/>
      <c r="V43" s="4"/>
    </row>
    <row r="44" spans="1:22" ht="15.75">
      <c r="A44" s="4"/>
      <c r="B44" s="20" t="s">
        <v>52</v>
      </c>
      <c r="C44" s="8">
        <v>0</v>
      </c>
      <c r="D44" s="9">
        <v>0</v>
      </c>
      <c r="E44" s="10">
        <v>0</v>
      </c>
      <c r="F44" s="11">
        <f t="shared" si="18"/>
        <v>0</v>
      </c>
      <c r="G44" s="10">
        <f>'[1]brewery week.month.year'!E30*2</f>
        <v>237.1430769230769</v>
      </c>
      <c r="H44" s="11">
        <v>514</v>
      </c>
      <c r="I44" s="10">
        <f t="shared" si="14"/>
        <v>539.7</v>
      </c>
      <c r="J44" s="11">
        <f t="shared" si="15"/>
        <v>488.3</v>
      </c>
      <c r="K44" s="10">
        <f t="shared" si="16"/>
        <v>512.715</v>
      </c>
      <c r="L44" s="11">
        <v>514</v>
      </c>
      <c r="M44" s="10">
        <v>514</v>
      </c>
      <c r="N44" s="11">
        <v>514</v>
      </c>
      <c r="O44" s="10">
        <v>514</v>
      </c>
      <c r="P44" s="11">
        <f t="shared" si="13"/>
        <v>4347.8580769230775</v>
      </c>
      <c r="Q44" s="5"/>
      <c r="R44" s="20" t="s">
        <v>52</v>
      </c>
      <c r="S44" s="4"/>
      <c r="T44" s="4"/>
      <c r="U44" s="4"/>
      <c r="V44" s="4"/>
    </row>
    <row r="45" spans="2:18" s="39" customFormat="1" ht="21.75" customHeight="1">
      <c r="B45" s="37" t="s">
        <v>158</v>
      </c>
      <c r="C45" s="36">
        <f>SUM(C35:C44)+C34</f>
        <v>74801.07</v>
      </c>
      <c r="D45" s="36">
        <f aca="true" t="shared" si="19" ref="D45:O45">SUM(D35:D44)+D34</f>
        <v>72895</v>
      </c>
      <c r="E45" s="36">
        <f t="shared" si="19"/>
        <v>66338</v>
      </c>
      <c r="F45" s="36">
        <f t="shared" si="19"/>
        <v>58116.346774193546</v>
      </c>
      <c r="G45" s="36">
        <f t="shared" si="19"/>
        <v>30596.37846153846</v>
      </c>
      <c r="H45" s="36">
        <f t="shared" si="19"/>
        <v>50835</v>
      </c>
      <c r="I45" s="36">
        <f t="shared" si="19"/>
        <v>53226.75</v>
      </c>
      <c r="J45" s="36">
        <f t="shared" si="19"/>
        <v>48443.25</v>
      </c>
      <c r="K45" s="36">
        <f t="shared" si="19"/>
        <v>50693.46749999999</v>
      </c>
      <c r="L45" s="36">
        <f t="shared" si="19"/>
        <v>50835</v>
      </c>
      <c r="M45" s="36">
        <f t="shared" si="19"/>
        <v>50835</v>
      </c>
      <c r="N45" s="36">
        <f t="shared" si="19"/>
        <v>50835</v>
      </c>
      <c r="O45" s="36">
        <f t="shared" si="19"/>
        <v>50835</v>
      </c>
      <c r="P45" s="36">
        <f t="shared" si="13"/>
        <v>634484.1927357321</v>
      </c>
      <c r="Q45" s="57">
        <f>P45/P20</f>
        <v>0.3454813065103924</v>
      </c>
      <c r="R45" s="37" t="s">
        <v>31</v>
      </c>
    </row>
    <row r="46" spans="1:22" ht="15.75">
      <c r="A46" s="4"/>
      <c r="B46" s="14"/>
      <c r="C46" s="8"/>
      <c r="D46" s="9"/>
      <c r="E46" s="10"/>
      <c r="F46" s="11"/>
      <c r="G46" s="10"/>
      <c r="H46" s="11"/>
      <c r="I46" s="10"/>
      <c r="J46" s="11"/>
      <c r="K46" s="10"/>
      <c r="L46" s="11"/>
      <c r="M46" s="10"/>
      <c r="N46" s="11"/>
      <c r="O46" s="10"/>
      <c r="P46" s="11"/>
      <c r="Q46" s="5"/>
      <c r="R46" s="14"/>
      <c r="S46" s="4"/>
      <c r="T46" s="4"/>
      <c r="U46" s="4"/>
      <c r="V46" s="4"/>
    </row>
    <row r="47" spans="1:22" ht="15.75">
      <c r="A47" s="4"/>
      <c r="B47" s="14"/>
      <c r="C47" s="8"/>
      <c r="D47" s="9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  <c r="P47" s="11"/>
      <c r="Q47" s="5"/>
      <c r="R47" s="14"/>
      <c r="S47" s="4"/>
      <c r="T47" s="4"/>
      <c r="U47" s="4"/>
      <c r="V47" s="4"/>
    </row>
    <row r="48" spans="1:22" ht="15.75">
      <c r="A48" s="4"/>
      <c r="B48" s="38" t="s">
        <v>53</v>
      </c>
      <c r="C48" s="8"/>
      <c r="D48" s="9"/>
      <c r="E48" s="10"/>
      <c r="F48" s="11"/>
      <c r="G48" s="10"/>
      <c r="H48" s="11"/>
      <c r="I48" s="10"/>
      <c r="J48" s="11"/>
      <c r="K48" s="10"/>
      <c r="L48" s="11"/>
      <c r="M48" s="10"/>
      <c r="N48" s="11"/>
      <c r="O48" s="10"/>
      <c r="P48" s="11"/>
      <c r="Q48" s="5"/>
      <c r="R48" s="22" t="s">
        <v>53</v>
      </c>
      <c r="S48" s="4"/>
      <c r="T48" s="4"/>
      <c r="U48" s="4"/>
      <c r="V48" s="4"/>
    </row>
    <row r="49" spans="1:22" ht="15.75">
      <c r="A49" s="4"/>
      <c r="B49" s="14" t="s">
        <v>141</v>
      </c>
      <c r="C49" s="8">
        <v>912</v>
      </c>
      <c r="D49" s="9">
        <v>150</v>
      </c>
      <c r="E49" s="10"/>
      <c r="F49" s="11"/>
      <c r="G49" s="10">
        <f>'[1]brewery week.month.year'!E35*2</f>
        <v>69.23076923076923</v>
      </c>
      <c r="H49" s="11">
        <v>150</v>
      </c>
      <c r="I49" s="10">
        <v>150</v>
      </c>
      <c r="J49" s="11">
        <f>H49-(H49*0.05)</f>
        <v>142.5</v>
      </c>
      <c r="K49" s="10">
        <v>150</v>
      </c>
      <c r="L49" s="11">
        <v>150</v>
      </c>
      <c r="M49" s="10">
        <v>150</v>
      </c>
      <c r="N49" s="11">
        <v>150</v>
      </c>
      <c r="O49" s="10">
        <v>150</v>
      </c>
      <c r="P49" s="11">
        <f aca="true" t="shared" si="20" ref="P49:P54">SUM(D49:O49)</f>
        <v>1411.7307692307693</v>
      </c>
      <c r="Q49" s="5"/>
      <c r="R49" s="14" t="s">
        <v>54</v>
      </c>
      <c r="S49" s="4"/>
      <c r="T49" s="4"/>
      <c r="U49" s="4"/>
      <c r="V49" s="4"/>
    </row>
    <row r="50" spans="1:22" ht="15.75">
      <c r="A50" s="4"/>
      <c r="B50" s="14" t="s">
        <v>55</v>
      </c>
      <c r="C50" s="8">
        <v>8397.1</v>
      </c>
      <c r="D50" s="9">
        <v>8000</v>
      </c>
      <c r="E50" s="10"/>
      <c r="F50" s="11"/>
      <c r="G50" s="10">
        <f>'[1]brewery week.month.year'!E36*2</f>
        <v>2874.4615384615386</v>
      </c>
      <c r="H50" s="11">
        <v>6228</v>
      </c>
      <c r="I50" s="10">
        <v>6228</v>
      </c>
      <c r="J50" s="11">
        <f>H50-(H50*0.05)</f>
        <v>5916.6</v>
      </c>
      <c r="K50" s="10">
        <v>6228</v>
      </c>
      <c r="L50" s="11">
        <v>6228</v>
      </c>
      <c r="M50" s="10">
        <v>6228</v>
      </c>
      <c r="N50" s="11">
        <v>6228</v>
      </c>
      <c r="O50" s="10">
        <v>6228</v>
      </c>
      <c r="P50" s="11">
        <f t="shared" si="20"/>
        <v>60387.06153846154</v>
      </c>
      <c r="Q50" s="5"/>
      <c r="R50" s="14" t="s">
        <v>55</v>
      </c>
      <c r="S50" s="4"/>
      <c r="T50" s="4"/>
      <c r="U50" s="4"/>
      <c r="V50" s="4"/>
    </row>
    <row r="51" spans="1:22" ht="15.75">
      <c r="A51" s="4"/>
      <c r="B51" s="14" t="s">
        <v>56</v>
      </c>
      <c r="C51" s="8">
        <v>850.35</v>
      </c>
      <c r="D51" s="9">
        <v>850</v>
      </c>
      <c r="E51" s="10"/>
      <c r="F51" s="11"/>
      <c r="G51" s="10">
        <f>'[1]brewery week.month.year'!E37*2</f>
        <v>215.5846153846154</v>
      </c>
      <c r="H51" s="11">
        <v>467</v>
      </c>
      <c r="I51" s="10">
        <v>467</v>
      </c>
      <c r="J51" s="11">
        <f>H51-(H51*0.05)</f>
        <v>443.65</v>
      </c>
      <c r="K51" s="10">
        <v>467</v>
      </c>
      <c r="L51" s="11">
        <v>467</v>
      </c>
      <c r="M51" s="10">
        <v>467</v>
      </c>
      <c r="N51" s="11">
        <v>467</v>
      </c>
      <c r="O51" s="10">
        <v>467</v>
      </c>
      <c r="P51" s="11">
        <f t="shared" si="20"/>
        <v>4778.234615384616</v>
      </c>
      <c r="Q51" s="5"/>
      <c r="R51" s="14" t="s">
        <v>56</v>
      </c>
      <c r="S51" s="4"/>
      <c r="T51" s="4"/>
      <c r="U51" s="4"/>
      <c r="V51" s="4"/>
    </row>
    <row r="52" spans="1:22" ht="15.75">
      <c r="A52" s="4"/>
      <c r="B52" s="14" t="s">
        <v>57</v>
      </c>
      <c r="C52" s="8">
        <v>2497.03</v>
      </c>
      <c r="D52" s="9">
        <v>2497</v>
      </c>
      <c r="E52" s="10"/>
      <c r="F52" s="11"/>
      <c r="G52" s="10">
        <f>'[1]brewery week.month.year'!E38*2</f>
        <v>1437.2307692307693</v>
      </c>
      <c r="H52" s="11">
        <v>3114</v>
      </c>
      <c r="I52" s="10">
        <v>3114</v>
      </c>
      <c r="J52" s="11">
        <f>H52-(H52*0.05)</f>
        <v>2958.3</v>
      </c>
      <c r="K52" s="10">
        <v>3114</v>
      </c>
      <c r="L52" s="11">
        <v>3114</v>
      </c>
      <c r="M52" s="10">
        <v>3114</v>
      </c>
      <c r="N52" s="11">
        <v>3114</v>
      </c>
      <c r="O52" s="10">
        <v>3114</v>
      </c>
      <c r="P52" s="11">
        <f t="shared" si="20"/>
        <v>28690.53076923077</v>
      </c>
      <c r="Q52" s="5"/>
      <c r="R52" s="14" t="s">
        <v>57</v>
      </c>
      <c r="S52" s="4"/>
      <c r="T52" s="4"/>
      <c r="U52" s="4"/>
      <c r="V52" s="4"/>
    </row>
    <row r="53" spans="1:22" ht="15.75">
      <c r="A53" s="4"/>
      <c r="B53" s="14" t="s">
        <v>58</v>
      </c>
      <c r="C53" s="8"/>
      <c r="D53" s="9"/>
      <c r="E53" s="10"/>
      <c r="F53" s="11"/>
      <c r="G53" s="10">
        <f>'[1]brewery week.month.year'!E39*2</f>
        <v>107.7923076923077</v>
      </c>
      <c r="H53" s="11">
        <v>234</v>
      </c>
      <c r="I53" s="10">
        <v>234</v>
      </c>
      <c r="J53" s="11">
        <f>H53-(H53*0.05)</f>
        <v>222.3</v>
      </c>
      <c r="K53" s="10">
        <v>234</v>
      </c>
      <c r="L53" s="11">
        <v>234</v>
      </c>
      <c r="M53" s="10">
        <v>234</v>
      </c>
      <c r="N53" s="11">
        <v>234</v>
      </c>
      <c r="O53" s="10">
        <v>234</v>
      </c>
      <c r="P53" s="11">
        <f t="shared" si="20"/>
        <v>1968.0923076923077</v>
      </c>
      <c r="Q53" s="5"/>
      <c r="R53" s="14" t="s">
        <v>58</v>
      </c>
      <c r="S53" s="4"/>
      <c r="T53" s="4"/>
      <c r="U53" s="4"/>
      <c r="V53" s="4"/>
    </row>
    <row r="54" spans="2:18" s="39" customFormat="1" ht="23.25" customHeight="1">
      <c r="B54" s="37" t="s">
        <v>159</v>
      </c>
      <c r="C54" s="36">
        <f>SUM(C49:C53)</f>
        <v>12656.480000000001</v>
      </c>
      <c r="D54" s="36">
        <f>SUM(D49:D53)</f>
        <v>11497</v>
      </c>
      <c r="E54" s="36">
        <v>10000</v>
      </c>
      <c r="F54" s="36">
        <v>8000</v>
      </c>
      <c r="G54" s="36">
        <f>'[1]brewery week.month.year'!E40*2</f>
        <v>4704.299999999999</v>
      </c>
      <c r="H54" s="36">
        <f aca="true" t="shared" si="21" ref="H54:O54">SUM(H49:H53)</f>
        <v>10193</v>
      </c>
      <c r="I54" s="36">
        <f t="shared" si="21"/>
        <v>10193</v>
      </c>
      <c r="J54" s="36">
        <f t="shared" si="21"/>
        <v>9683.349999999999</v>
      </c>
      <c r="K54" s="36">
        <f t="shared" si="21"/>
        <v>10193</v>
      </c>
      <c r="L54" s="36">
        <f t="shared" si="21"/>
        <v>10193</v>
      </c>
      <c r="M54" s="36">
        <f t="shared" si="21"/>
        <v>10193</v>
      </c>
      <c r="N54" s="36">
        <f t="shared" si="21"/>
        <v>10193</v>
      </c>
      <c r="O54" s="36">
        <f t="shared" si="21"/>
        <v>10193</v>
      </c>
      <c r="P54" s="36">
        <f t="shared" si="20"/>
        <v>115235.65</v>
      </c>
      <c r="Q54" s="57">
        <f>P54/P20</f>
        <v>0.06274665842645544</v>
      </c>
      <c r="R54" s="37" t="s">
        <v>31</v>
      </c>
    </row>
    <row r="55" spans="1:22" ht="15.75">
      <c r="A55" s="4"/>
      <c r="B55" s="14"/>
      <c r="C55" s="8"/>
      <c r="D55" s="9"/>
      <c r="E55" s="10"/>
      <c r="F55" s="11"/>
      <c r="G55" s="10"/>
      <c r="H55" s="11"/>
      <c r="I55" s="10"/>
      <c r="J55" s="11"/>
      <c r="K55" s="10"/>
      <c r="L55" s="11"/>
      <c r="M55" s="10"/>
      <c r="N55" s="11"/>
      <c r="O55" s="10"/>
      <c r="P55" s="11"/>
      <c r="Q55" s="5"/>
      <c r="R55" s="14"/>
      <c r="S55" s="4"/>
      <c r="T55" s="4"/>
      <c r="U55" s="4"/>
      <c r="V55" s="4"/>
    </row>
    <row r="56" spans="1:22" ht="15.75">
      <c r="A56" s="4"/>
      <c r="B56" s="38" t="s">
        <v>59</v>
      </c>
      <c r="C56" s="8"/>
      <c r="D56" s="9"/>
      <c r="E56" s="10"/>
      <c r="F56" s="11"/>
      <c r="G56" s="10"/>
      <c r="H56" s="11"/>
      <c r="I56" s="10"/>
      <c r="J56" s="11"/>
      <c r="K56" s="10"/>
      <c r="L56" s="11"/>
      <c r="M56" s="10"/>
      <c r="N56" s="11"/>
      <c r="O56" s="10"/>
      <c r="P56" s="11"/>
      <c r="Q56" s="5"/>
      <c r="R56" s="22" t="s">
        <v>59</v>
      </c>
      <c r="S56" s="4"/>
      <c r="T56" s="4"/>
      <c r="U56" s="4"/>
      <c r="V56" s="4"/>
    </row>
    <row r="57" spans="1:22" ht="15.75">
      <c r="A57" s="4"/>
      <c r="B57" s="20" t="s">
        <v>60</v>
      </c>
      <c r="C57" s="8">
        <v>0</v>
      </c>
      <c r="D57" s="9"/>
      <c r="E57" s="10"/>
      <c r="F57" s="11"/>
      <c r="G57" s="10">
        <v>0</v>
      </c>
      <c r="H57" s="11">
        <v>0</v>
      </c>
      <c r="I57" s="10">
        <v>0</v>
      </c>
      <c r="J57" s="11">
        <v>0</v>
      </c>
      <c r="K57" s="10">
        <v>0</v>
      </c>
      <c r="L57" s="11">
        <v>0</v>
      </c>
      <c r="M57" s="10">
        <v>0</v>
      </c>
      <c r="N57" s="11">
        <v>0</v>
      </c>
      <c r="O57" s="10">
        <v>0</v>
      </c>
      <c r="P57" s="11"/>
      <c r="Q57" s="5"/>
      <c r="R57" s="20" t="s">
        <v>60</v>
      </c>
      <c r="S57" s="4"/>
      <c r="T57" s="4"/>
      <c r="U57" s="4"/>
      <c r="V57" s="4"/>
    </row>
    <row r="58" spans="1:22" ht="15.75">
      <c r="A58" s="4"/>
      <c r="B58" s="20" t="s">
        <v>61</v>
      </c>
      <c r="C58" s="8"/>
      <c r="D58" s="9"/>
      <c r="E58" s="10"/>
      <c r="F58" s="11"/>
      <c r="G58" s="10">
        <f>'[1]brewery week.month.year'!E44*2</f>
        <v>46.15384615384615</v>
      </c>
      <c r="H58" s="11">
        <v>100</v>
      </c>
      <c r="I58" s="10">
        <v>100</v>
      </c>
      <c r="J58" s="11">
        <v>0</v>
      </c>
      <c r="K58" s="10">
        <v>100</v>
      </c>
      <c r="L58" s="11">
        <v>100</v>
      </c>
      <c r="M58" s="10">
        <v>100</v>
      </c>
      <c r="N58" s="11">
        <v>100</v>
      </c>
      <c r="O58" s="10">
        <v>100</v>
      </c>
      <c r="P58" s="11">
        <f aca="true" t="shared" si="22" ref="P58:P68">SUM(D58:O58)</f>
        <v>746.1538461538462</v>
      </c>
      <c r="Q58" s="5"/>
      <c r="R58" s="20" t="s">
        <v>61</v>
      </c>
      <c r="S58" s="4"/>
      <c r="T58" s="4"/>
      <c r="U58" s="4"/>
      <c r="V58" s="4"/>
    </row>
    <row r="59" spans="1:22" ht="15.75">
      <c r="A59" s="4"/>
      <c r="B59" s="20" t="s">
        <v>62</v>
      </c>
      <c r="C59" s="8">
        <v>533.01</v>
      </c>
      <c r="D59" s="9">
        <v>0</v>
      </c>
      <c r="E59" s="10"/>
      <c r="F59" s="11"/>
      <c r="G59" s="10">
        <f>'[1]brewery week.month.year'!E45*2</f>
        <v>46.15384615384615</v>
      </c>
      <c r="H59" s="11">
        <v>100</v>
      </c>
      <c r="I59" s="10">
        <v>100</v>
      </c>
      <c r="J59" s="11">
        <v>0</v>
      </c>
      <c r="K59" s="10">
        <v>100</v>
      </c>
      <c r="L59" s="11">
        <v>100</v>
      </c>
      <c r="M59" s="10">
        <v>100</v>
      </c>
      <c r="N59" s="11">
        <v>500</v>
      </c>
      <c r="O59" s="10">
        <v>500</v>
      </c>
      <c r="P59" s="11">
        <f t="shared" si="22"/>
        <v>1546.1538461538462</v>
      </c>
      <c r="Q59" s="5"/>
      <c r="R59" s="20" t="s">
        <v>62</v>
      </c>
      <c r="S59" s="4"/>
      <c r="T59" s="4"/>
      <c r="U59" s="4"/>
      <c r="V59" s="4"/>
    </row>
    <row r="60" spans="1:22" ht="15.75">
      <c r="A60" s="4"/>
      <c r="B60" s="20" t="s">
        <v>63</v>
      </c>
      <c r="C60" s="8">
        <v>907.16</v>
      </c>
      <c r="D60" s="9">
        <v>907</v>
      </c>
      <c r="E60" s="10"/>
      <c r="F60" s="11"/>
      <c r="G60" s="10">
        <f>'[1]brewery week.month.year'!E46*2</f>
        <v>461.53846153846155</v>
      </c>
      <c r="H60" s="11">
        <v>1000</v>
      </c>
      <c r="I60" s="10">
        <v>1000</v>
      </c>
      <c r="J60" s="11">
        <v>1000</v>
      </c>
      <c r="K60" s="10">
        <v>1000</v>
      </c>
      <c r="L60" s="11">
        <v>1000</v>
      </c>
      <c r="M60" s="10">
        <v>1000</v>
      </c>
      <c r="N60" s="11">
        <v>1000</v>
      </c>
      <c r="O60" s="10">
        <v>1000</v>
      </c>
      <c r="P60" s="11">
        <f t="shared" si="22"/>
        <v>9368.538461538461</v>
      </c>
      <c r="Q60" s="5"/>
      <c r="R60" s="20" t="s">
        <v>63</v>
      </c>
      <c r="S60" s="4"/>
      <c r="T60" s="4"/>
      <c r="U60" s="4"/>
      <c r="V60" s="4"/>
    </row>
    <row r="61" spans="1:22" ht="15.75">
      <c r="A61" s="4"/>
      <c r="B61" s="20" t="s">
        <v>64</v>
      </c>
      <c r="C61" s="8">
        <v>543.41</v>
      </c>
      <c r="D61" s="9">
        <v>0</v>
      </c>
      <c r="E61" s="10"/>
      <c r="F61" s="11"/>
      <c r="G61" s="10">
        <f>'[1]brewery week.month.year'!E47*2</f>
        <v>161.53846153846155</v>
      </c>
      <c r="H61" s="11">
        <v>350</v>
      </c>
      <c r="I61" s="10">
        <v>350</v>
      </c>
      <c r="J61" s="11">
        <v>350</v>
      </c>
      <c r="K61" s="10">
        <v>350</v>
      </c>
      <c r="L61" s="11">
        <v>350</v>
      </c>
      <c r="M61" s="10">
        <v>350</v>
      </c>
      <c r="N61" s="11">
        <v>350</v>
      </c>
      <c r="O61" s="10">
        <v>350</v>
      </c>
      <c r="P61" s="11">
        <f t="shared" si="22"/>
        <v>2961.5384615384614</v>
      </c>
      <c r="Q61" s="5"/>
      <c r="R61" s="20" t="s">
        <v>64</v>
      </c>
      <c r="S61" s="4"/>
      <c r="T61" s="4"/>
      <c r="U61" s="4"/>
      <c r="V61" s="4"/>
    </row>
    <row r="62" spans="1:22" ht="15.75">
      <c r="A62" s="4"/>
      <c r="B62" s="20" t="s">
        <v>65</v>
      </c>
      <c r="C62" s="8"/>
      <c r="D62" s="9"/>
      <c r="E62" s="10"/>
      <c r="F62" s="11"/>
      <c r="G62" s="10">
        <f>'[1]brewery week.month.year'!E48*2</f>
        <v>46.15384615384615</v>
      </c>
      <c r="H62" s="11">
        <v>600</v>
      </c>
      <c r="I62" s="10">
        <v>0</v>
      </c>
      <c r="J62" s="11">
        <v>0</v>
      </c>
      <c r="K62" s="10">
        <v>0</v>
      </c>
      <c r="L62" s="11">
        <v>0</v>
      </c>
      <c r="M62" s="10">
        <v>0</v>
      </c>
      <c r="N62" s="11">
        <v>0</v>
      </c>
      <c r="O62" s="10">
        <v>0</v>
      </c>
      <c r="P62" s="11">
        <f t="shared" si="22"/>
        <v>646.1538461538462</v>
      </c>
      <c r="Q62" s="5"/>
      <c r="R62" s="20" t="s">
        <v>65</v>
      </c>
      <c r="S62" s="4"/>
      <c r="T62" s="4"/>
      <c r="U62" s="4"/>
      <c r="V62" s="4"/>
    </row>
    <row r="63" spans="1:22" ht="15.75">
      <c r="A63" s="4"/>
      <c r="B63" s="20" t="s">
        <v>66</v>
      </c>
      <c r="C63" s="8"/>
      <c r="D63" s="9"/>
      <c r="E63" s="10"/>
      <c r="F63" s="11"/>
      <c r="G63" s="10">
        <f>'[1]brewery week.month.year'!E49*2</f>
        <v>92.3076923076923</v>
      </c>
      <c r="H63" s="11">
        <v>100</v>
      </c>
      <c r="I63" s="10">
        <v>0</v>
      </c>
      <c r="J63" s="11">
        <v>0</v>
      </c>
      <c r="K63" s="10">
        <v>0</v>
      </c>
      <c r="L63" s="11">
        <v>100</v>
      </c>
      <c r="M63" s="10">
        <v>100</v>
      </c>
      <c r="N63" s="11">
        <v>100</v>
      </c>
      <c r="O63" s="10">
        <v>100</v>
      </c>
      <c r="P63" s="11">
        <f t="shared" si="22"/>
        <v>592.3076923076924</v>
      </c>
      <c r="Q63" s="5"/>
      <c r="R63" s="20" t="s">
        <v>66</v>
      </c>
      <c r="S63" s="4"/>
      <c r="T63" s="4"/>
      <c r="U63" s="4"/>
      <c r="V63" s="4"/>
    </row>
    <row r="64" spans="1:22" ht="15.75">
      <c r="A64" s="4"/>
      <c r="B64" s="20" t="s">
        <v>67</v>
      </c>
      <c r="C64" s="8"/>
      <c r="D64" s="9"/>
      <c r="E64" s="10"/>
      <c r="F64" s="11"/>
      <c r="G64" s="10">
        <f>'[1]brewery week.month.year'!E50*2</f>
        <v>230.76923076923077</v>
      </c>
      <c r="H64" s="11">
        <v>500</v>
      </c>
      <c r="I64" s="10">
        <v>300</v>
      </c>
      <c r="J64" s="11">
        <v>300</v>
      </c>
      <c r="K64" s="10">
        <v>500</v>
      </c>
      <c r="L64" s="11">
        <v>500</v>
      </c>
      <c r="M64" s="10">
        <v>500</v>
      </c>
      <c r="N64" s="11">
        <v>500</v>
      </c>
      <c r="O64" s="10">
        <v>500</v>
      </c>
      <c r="P64" s="11">
        <f t="shared" si="22"/>
        <v>3830.7692307692305</v>
      </c>
      <c r="Q64" s="5"/>
      <c r="R64" s="20" t="s">
        <v>67</v>
      </c>
      <c r="S64" s="4"/>
      <c r="T64" s="4"/>
      <c r="U64" s="4"/>
      <c r="V64" s="4"/>
    </row>
    <row r="65" spans="1:22" ht="15.75">
      <c r="A65" s="4"/>
      <c r="B65" s="20" t="s">
        <v>68</v>
      </c>
      <c r="C65" s="8"/>
      <c r="D65" s="9"/>
      <c r="E65" s="10"/>
      <c r="F65" s="11"/>
      <c r="G65" s="10">
        <f>'[1]brewery week.month.year'!E51*2</f>
        <v>431.1692307692308</v>
      </c>
      <c r="H65" s="11">
        <v>934</v>
      </c>
      <c r="I65" s="10">
        <v>934</v>
      </c>
      <c r="J65" s="11">
        <v>934</v>
      </c>
      <c r="K65" s="10">
        <v>934</v>
      </c>
      <c r="L65" s="11">
        <v>934</v>
      </c>
      <c r="M65" s="10">
        <v>934</v>
      </c>
      <c r="N65" s="11">
        <v>934</v>
      </c>
      <c r="O65" s="10">
        <v>934</v>
      </c>
      <c r="P65" s="11">
        <f t="shared" si="22"/>
        <v>7903.169230769231</v>
      </c>
      <c r="Q65" s="5"/>
      <c r="R65" s="20" t="s">
        <v>68</v>
      </c>
      <c r="S65" s="4"/>
      <c r="T65" s="4"/>
      <c r="U65" s="4"/>
      <c r="V65" s="4"/>
    </row>
    <row r="66" spans="1:22" ht="15.75">
      <c r="A66" s="4"/>
      <c r="B66" s="20" t="s">
        <v>69</v>
      </c>
      <c r="C66" s="8"/>
      <c r="D66" s="9"/>
      <c r="E66" s="10"/>
      <c r="F66" s="11"/>
      <c r="G66" s="10">
        <f>'[1]brewery week.month.year'!E52*2</f>
        <v>431.1692307692308</v>
      </c>
      <c r="H66" s="11">
        <v>934</v>
      </c>
      <c r="I66" s="10">
        <v>934</v>
      </c>
      <c r="J66" s="11">
        <v>934</v>
      </c>
      <c r="K66" s="10">
        <v>934</v>
      </c>
      <c r="L66" s="11">
        <v>934</v>
      </c>
      <c r="M66" s="10">
        <v>934</v>
      </c>
      <c r="N66" s="11">
        <v>934</v>
      </c>
      <c r="O66" s="10">
        <v>934</v>
      </c>
      <c r="P66" s="11">
        <f t="shared" si="22"/>
        <v>7903.169230769231</v>
      </c>
      <c r="Q66" s="5"/>
      <c r="R66" s="20" t="s">
        <v>69</v>
      </c>
      <c r="S66" s="4"/>
      <c r="T66" s="4"/>
      <c r="U66" s="4"/>
      <c r="V66" s="4"/>
    </row>
    <row r="67" spans="1:22" ht="15.75">
      <c r="A67" s="4"/>
      <c r="B67" s="20" t="s">
        <v>70</v>
      </c>
      <c r="C67" s="8">
        <v>4149.17</v>
      </c>
      <c r="D67" s="9">
        <v>4149</v>
      </c>
      <c r="E67" s="10"/>
      <c r="F67" s="11"/>
      <c r="G67" s="10">
        <f>'[1]brewery week.month.year'!E53*2</f>
        <v>553.8461538461538</v>
      </c>
      <c r="H67" s="11">
        <v>1200</v>
      </c>
      <c r="I67" s="10">
        <v>1200</v>
      </c>
      <c r="J67" s="11">
        <v>1000</v>
      </c>
      <c r="K67" s="10">
        <v>1200</v>
      </c>
      <c r="L67" s="11">
        <v>1200</v>
      </c>
      <c r="M67" s="10">
        <v>1200</v>
      </c>
      <c r="N67" s="11">
        <v>1200</v>
      </c>
      <c r="O67" s="10">
        <v>1200</v>
      </c>
      <c r="P67" s="11">
        <f t="shared" si="22"/>
        <v>14102.846153846154</v>
      </c>
      <c r="Q67" s="5"/>
      <c r="R67" s="20" t="s">
        <v>70</v>
      </c>
      <c r="S67" s="4"/>
      <c r="T67" s="4"/>
      <c r="U67" s="4"/>
      <c r="V67" s="4"/>
    </row>
    <row r="68" spans="2:18" s="39" customFormat="1" ht="18">
      <c r="B68" s="37" t="s">
        <v>160</v>
      </c>
      <c r="C68" s="36">
        <f>SUM(C57:C67)</f>
        <v>6132.75</v>
      </c>
      <c r="D68" s="36">
        <f>SUM(D57:D67)</f>
        <v>5056</v>
      </c>
      <c r="E68" s="36">
        <v>5300</v>
      </c>
      <c r="F68" s="36">
        <v>2500</v>
      </c>
      <c r="G68" s="36">
        <f aca="true" t="shared" si="23" ref="G68:O68">SUM(G57:G67)</f>
        <v>2500.8</v>
      </c>
      <c r="H68" s="36">
        <f t="shared" si="23"/>
        <v>5818</v>
      </c>
      <c r="I68" s="36">
        <f t="shared" si="23"/>
        <v>4918</v>
      </c>
      <c r="J68" s="36">
        <f t="shared" si="23"/>
        <v>4518</v>
      </c>
      <c r="K68" s="36">
        <f t="shared" si="23"/>
        <v>5118</v>
      </c>
      <c r="L68" s="36">
        <f t="shared" si="23"/>
        <v>5218</v>
      </c>
      <c r="M68" s="36">
        <f t="shared" si="23"/>
        <v>5218</v>
      </c>
      <c r="N68" s="36">
        <f t="shared" si="23"/>
        <v>5618</v>
      </c>
      <c r="O68" s="36">
        <f t="shared" si="23"/>
        <v>5618</v>
      </c>
      <c r="P68" s="36">
        <f t="shared" si="22"/>
        <v>57400.8</v>
      </c>
      <c r="Q68" s="40">
        <f>P68/P20</f>
        <v>0.03125515750555738</v>
      </c>
      <c r="R68" s="37" t="s">
        <v>31</v>
      </c>
    </row>
    <row r="69" spans="1:22" ht="15.75">
      <c r="A69" s="4"/>
      <c r="B69" s="14"/>
      <c r="C69" s="8"/>
      <c r="D69" s="9"/>
      <c r="E69" s="10"/>
      <c r="F69" s="11"/>
      <c r="G69" s="10"/>
      <c r="H69" s="11"/>
      <c r="I69" s="10"/>
      <c r="J69" s="11"/>
      <c r="K69" s="10"/>
      <c r="L69" s="11"/>
      <c r="M69" s="10"/>
      <c r="N69" s="11"/>
      <c r="O69" s="10"/>
      <c r="P69" s="11"/>
      <c r="Q69" s="5"/>
      <c r="R69" s="14"/>
      <c r="S69" s="4"/>
      <c r="T69" s="4"/>
      <c r="U69" s="4"/>
      <c r="V69" s="4"/>
    </row>
    <row r="70" spans="1:22" ht="15.75">
      <c r="A70" s="4"/>
      <c r="B70" s="38" t="s">
        <v>71</v>
      </c>
      <c r="C70" s="8"/>
      <c r="D70" s="9"/>
      <c r="E70" s="10"/>
      <c r="F70" s="11"/>
      <c r="G70" s="10"/>
      <c r="H70" s="11"/>
      <c r="I70" s="10"/>
      <c r="J70" s="11"/>
      <c r="K70" s="10"/>
      <c r="L70" s="11"/>
      <c r="M70" s="10"/>
      <c r="N70" s="11"/>
      <c r="O70" s="10"/>
      <c r="P70" s="11"/>
      <c r="Q70" s="5"/>
      <c r="R70" s="22" t="s">
        <v>71</v>
      </c>
      <c r="S70" s="4"/>
      <c r="T70" s="4"/>
      <c r="U70" s="4"/>
      <c r="V70" s="4"/>
    </row>
    <row r="71" spans="1:22" ht="15.75">
      <c r="A71" s="4"/>
      <c r="B71" s="20" t="s">
        <v>72</v>
      </c>
      <c r="C71" s="8"/>
      <c r="D71" s="9"/>
      <c r="E71" s="10"/>
      <c r="F71" s="11"/>
      <c r="G71" s="10">
        <f>'[1]brewery week.month.year'!E57*2</f>
        <v>369.2307692307692</v>
      </c>
      <c r="H71" s="11">
        <v>800</v>
      </c>
      <c r="I71" s="10">
        <v>800</v>
      </c>
      <c r="J71" s="11">
        <v>800</v>
      </c>
      <c r="K71" s="10">
        <v>800</v>
      </c>
      <c r="L71" s="11">
        <v>800</v>
      </c>
      <c r="M71" s="10">
        <v>800</v>
      </c>
      <c r="N71" s="11">
        <v>800</v>
      </c>
      <c r="O71" s="10">
        <v>800</v>
      </c>
      <c r="P71" s="11">
        <f>SUM(D71:O71)</f>
        <v>6769.2307692307695</v>
      </c>
      <c r="Q71" s="5"/>
      <c r="R71" s="20" t="s">
        <v>72</v>
      </c>
      <c r="S71" s="4"/>
      <c r="T71" s="4"/>
      <c r="U71" s="4"/>
      <c r="V71" s="4"/>
    </row>
    <row r="72" spans="1:22" ht="15.75">
      <c r="A72" s="4"/>
      <c r="B72" s="20" t="s">
        <v>73</v>
      </c>
      <c r="C72" s="8"/>
      <c r="D72" s="9"/>
      <c r="E72" s="10"/>
      <c r="F72" s="11"/>
      <c r="G72" s="10">
        <f>'[1]brewery week.month.year'!E58*2</f>
        <v>57.69230769230769</v>
      </c>
      <c r="H72" s="11">
        <v>125</v>
      </c>
      <c r="I72" s="10">
        <v>125</v>
      </c>
      <c r="J72" s="11">
        <v>125</v>
      </c>
      <c r="K72" s="10">
        <v>125</v>
      </c>
      <c r="L72" s="11">
        <v>125</v>
      </c>
      <c r="M72" s="10">
        <v>125</v>
      </c>
      <c r="N72" s="11">
        <v>125</v>
      </c>
      <c r="O72" s="10">
        <v>125</v>
      </c>
      <c r="P72" s="11">
        <f>SUM(D72:O72)</f>
        <v>1057.6923076923076</v>
      </c>
      <c r="Q72" s="5"/>
      <c r="R72" s="20" t="s">
        <v>73</v>
      </c>
      <c r="S72" s="4"/>
      <c r="T72" s="4"/>
      <c r="U72" s="4"/>
      <c r="V72" s="4"/>
    </row>
    <row r="73" spans="1:22" ht="15.75">
      <c r="A73" s="4"/>
      <c r="B73" s="20" t="s">
        <v>74</v>
      </c>
      <c r="C73" s="8">
        <v>4264.89</v>
      </c>
      <c r="D73" s="9">
        <v>4000</v>
      </c>
      <c r="E73" s="10"/>
      <c r="F73" s="11"/>
      <c r="G73" s="10">
        <f>'[1]brewery week.month.year'!E59*2</f>
        <v>553.8461538461538</v>
      </c>
      <c r="H73" s="11">
        <v>1200</v>
      </c>
      <c r="I73" s="10">
        <v>1200</v>
      </c>
      <c r="J73" s="11">
        <v>1200</v>
      </c>
      <c r="K73" s="10">
        <v>1200</v>
      </c>
      <c r="L73" s="11">
        <v>1200</v>
      </c>
      <c r="M73" s="10">
        <v>1200</v>
      </c>
      <c r="N73" s="11">
        <v>1200</v>
      </c>
      <c r="O73" s="10">
        <v>1200</v>
      </c>
      <c r="P73" s="11">
        <f>SUM(D73:O73)</f>
        <v>14153.846153846154</v>
      </c>
      <c r="Q73" s="5"/>
      <c r="R73" s="20" t="s">
        <v>74</v>
      </c>
      <c r="S73" s="4"/>
      <c r="T73" s="4"/>
      <c r="U73" s="4"/>
      <c r="V73" s="4"/>
    </row>
    <row r="74" spans="2:18" s="39" customFormat="1" ht="18">
      <c r="B74" s="37" t="s">
        <v>161</v>
      </c>
      <c r="C74" s="36">
        <f>SUM(C71:C73)</f>
        <v>4264.89</v>
      </c>
      <c r="D74" s="36">
        <f>SUM(D71:D73)</f>
        <v>4000</v>
      </c>
      <c r="E74" s="36">
        <v>3500</v>
      </c>
      <c r="F74" s="36">
        <v>2000</v>
      </c>
      <c r="G74" s="36">
        <f>'[1]brewery week.month.year'!E60*2</f>
        <v>980.7692307692307</v>
      </c>
      <c r="H74" s="36">
        <f aca="true" t="shared" si="24" ref="H74:O74">SUM(H71:H73)</f>
        <v>2125</v>
      </c>
      <c r="I74" s="36">
        <f t="shared" si="24"/>
        <v>2125</v>
      </c>
      <c r="J74" s="36">
        <f t="shared" si="24"/>
        <v>2125</v>
      </c>
      <c r="K74" s="36">
        <f t="shared" si="24"/>
        <v>2125</v>
      </c>
      <c r="L74" s="36">
        <f t="shared" si="24"/>
        <v>2125</v>
      </c>
      <c r="M74" s="36">
        <f t="shared" si="24"/>
        <v>2125</v>
      </c>
      <c r="N74" s="36">
        <f t="shared" si="24"/>
        <v>2125</v>
      </c>
      <c r="O74" s="36">
        <f t="shared" si="24"/>
        <v>2125</v>
      </c>
      <c r="P74" s="36">
        <f>SUM(D74:O74)</f>
        <v>27480.76923076923</v>
      </c>
      <c r="Q74" s="40">
        <f>P74/P20</f>
        <v>0.01496348083444076</v>
      </c>
      <c r="R74" s="37" t="s">
        <v>31</v>
      </c>
    </row>
    <row r="75" spans="1:22" ht="15.75">
      <c r="A75" s="4"/>
      <c r="B75" s="14"/>
      <c r="C75" s="8"/>
      <c r="D75" s="9"/>
      <c r="E75" s="10"/>
      <c r="F75" s="11"/>
      <c r="G75" s="10"/>
      <c r="H75" s="11"/>
      <c r="I75" s="10"/>
      <c r="J75" s="11"/>
      <c r="K75" s="10"/>
      <c r="L75" s="11"/>
      <c r="M75" s="10"/>
      <c r="N75" s="11"/>
      <c r="O75" s="10"/>
      <c r="P75" s="11"/>
      <c r="Q75" s="5"/>
      <c r="R75" s="14"/>
      <c r="S75" s="4"/>
      <c r="T75" s="4"/>
      <c r="U75" s="4"/>
      <c r="V75" s="4"/>
    </row>
    <row r="76" spans="1:22" ht="15.75">
      <c r="A76" s="4"/>
      <c r="B76" s="38" t="s">
        <v>75</v>
      </c>
      <c r="C76" s="8"/>
      <c r="D76" s="9"/>
      <c r="E76" s="10"/>
      <c r="F76" s="11"/>
      <c r="G76" s="10"/>
      <c r="H76" s="11"/>
      <c r="I76" s="10"/>
      <c r="J76" s="11"/>
      <c r="K76" s="10"/>
      <c r="L76" s="11"/>
      <c r="M76" s="10"/>
      <c r="N76" s="11"/>
      <c r="O76" s="10"/>
      <c r="P76" s="11"/>
      <c r="Q76" s="5"/>
      <c r="R76" s="22" t="s">
        <v>75</v>
      </c>
      <c r="S76" s="4"/>
      <c r="T76" s="4"/>
      <c r="U76" s="4"/>
      <c r="V76" s="4"/>
    </row>
    <row r="77" spans="1:22" ht="15.75">
      <c r="A77" s="4"/>
      <c r="B77" s="20" t="s">
        <v>76</v>
      </c>
      <c r="C77" s="8">
        <v>1000</v>
      </c>
      <c r="D77" s="9">
        <v>1000</v>
      </c>
      <c r="E77" s="10">
        <v>1000</v>
      </c>
      <c r="F77" s="11">
        <v>1000</v>
      </c>
      <c r="G77" s="10">
        <v>1000</v>
      </c>
      <c r="H77" s="11">
        <v>1000</v>
      </c>
      <c r="I77" s="10">
        <v>1000</v>
      </c>
      <c r="J77" s="11">
        <v>1000</v>
      </c>
      <c r="K77" s="10">
        <v>1000</v>
      </c>
      <c r="L77" s="11">
        <v>1000</v>
      </c>
      <c r="M77" s="10">
        <v>1000</v>
      </c>
      <c r="N77" s="11">
        <v>1000</v>
      </c>
      <c r="O77" s="10">
        <v>1000</v>
      </c>
      <c r="P77" s="11">
        <f aca="true" t="shared" si="25" ref="P77:P89">SUM(D77:O77)</f>
        <v>12000</v>
      </c>
      <c r="Q77" s="5"/>
      <c r="R77" s="20" t="s">
        <v>76</v>
      </c>
      <c r="S77" s="4"/>
      <c r="T77" s="4"/>
      <c r="U77" s="4"/>
      <c r="V77" s="4"/>
    </row>
    <row r="78" spans="1:22" ht="15.75">
      <c r="A78" s="4"/>
      <c r="B78" s="20" t="s">
        <v>138</v>
      </c>
      <c r="C78" s="8">
        <v>675</v>
      </c>
      <c r="D78" s="9">
        <v>525</v>
      </c>
      <c r="E78" s="10">
        <v>525</v>
      </c>
      <c r="F78" s="11">
        <v>525</v>
      </c>
      <c r="G78" s="10">
        <v>525</v>
      </c>
      <c r="H78" s="11">
        <v>525</v>
      </c>
      <c r="I78" s="10">
        <v>525</v>
      </c>
      <c r="J78" s="11">
        <v>525</v>
      </c>
      <c r="K78" s="10">
        <v>525</v>
      </c>
      <c r="L78" s="11">
        <v>525</v>
      </c>
      <c r="M78" s="10">
        <v>525</v>
      </c>
      <c r="N78" s="11">
        <v>525</v>
      </c>
      <c r="O78" s="10">
        <v>525</v>
      </c>
      <c r="P78" s="11">
        <v>525</v>
      </c>
      <c r="Q78" s="5"/>
      <c r="R78" s="20" t="s">
        <v>138</v>
      </c>
      <c r="S78" s="4"/>
      <c r="T78" s="4"/>
      <c r="U78" s="4"/>
      <c r="V78" s="4"/>
    </row>
    <row r="79" spans="1:22" ht="15.75">
      <c r="A79" s="4"/>
      <c r="B79" s="20" t="s">
        <v>77</v>
      </c>
      <c r="C79" s="8">
        <v>82.4</v>
      </c>
      <c r="D79" s="9">
        <v>82</v>
      </c>
      <c r="E79" s="10">
        <v>20</v>
      </c>
      <c r="F79" s="11">
        <v>20</v>
      </c>
      <c r="G79" s="10">
        <v>20</v>
      </c>
      <c r="H79" s="11">
        <v>20</v>
      </c>
      <c r="I79" s="10">
        <v>20</v>
      </c>
      <c r="J79" s="11">
        <v>20</v>
      </c>
      <c r="K79" s="10">
        <v>20</v>
      </c>
      <c r="L79" s="11">
        <v>20</v>
      </c>
      <c r="M79" s="10">
        <v>20</v>
      </c>
      <c r="N79" s="11">
        <v>20</v>
      </c>
      <c r="O79" s="10">
        <v>20</v>
      </c>
      <c r="P79" s="11">
        <f t="shared" si="25"/>
        <v>302</v>
      </c>
      <c r="Q79" s="5"/>
      <c r="R79" s="20" t="s">
        <v>77</v>
      </c>
      <c r="S79" s="4"/>
      <c r="T79" s="4"/>
      <c r="U79" s="4"/>
      <c r="V79" s="4"/>
    </row>
    <row r="80" spans="1:22" ht="15.75">
      <c r="A80" s="4"/>
      <c r="B80" s="20" t="s">
        <v>78</v>
      </c>
      <c r="C80" s="8">
        <v>57.75</v>
      </c>
      <c r="D80" s="9">
        <v>60</v>
      </c>
      <c r="E80" s="10">
        <v>60</v>
      </c>
      <c r="F80" s="11">
        <v>60</v>
      </c>
      <c r="G80" s="10">
        <v>60</v>
      </c>
      <c r="H80" s="11">
        <v>60</v>
      </c>
      <c r="I80" s="10">
        <v>60</v>
      </c>
      <c r="J80" s="11">
        <v>60</v>
      </c>
      <c r="K80" s="10">
        <v>60</v>
      </c>
      <c r="L80" s="11">
        <v>60</v>
      </c>
      <c r="M80" s="10">
        <v>60</v>
      </c>
      <c r="N80" s="11">
        <v>60</v>
      </c>
      <c r="O80" s="10">
        <v>60</v>
      </c>
      <c r="P80" s="11">
        <f t="shared" si="25"/>
        <v>720</v>
      </c>
      <c r="Q80" s="5"/>
      <c r="R80" s="20" t="s">
        <v>78</v>
      </c>
      <c r="S80" s="4"/>
      <c r="T80" s="4"/>
      <c r="U80" s="4"/>
      <c r="V80" s="4"/>
    </row>
    <row r="81" spans="1:22" ht="15.75">
      <c r="A81" s="4"/>
      <c r="B81" s="20" t="s">
        <v>79</v>
      </c>
      <c r="C81" s="8">
        <v>375.25</v>
      </c>
      <c r="D81" s="9">
        <v>250</v>
      </c>
      <c r="E81" s="10">
        <v>250</v>
      </c>
      <c r="F81" s="11">
        <v>0</v>
      </c>
      <c r="G81" s="10">
        <v>0</v>
      </c>
      <c r="H81" s="11">
        <v>250</v>
      </c>
      <c r="I81" s="10">
        <v>250</v>
      </c>
      <c r="J81" s="11">
        <v>250</v>
      </c>
      <c r="K81" s="10">
        <v>250</v>
      </c>
      <c r="L81" s="11">
        <v>250</v>
      </c>
      <c r="M81" s="10">
        <v>250</v>
      </c>
      <c r="N81" s="11">
        <v>250</v>
      </c>
      <c r="O81" s="10">
        <v>250</v>
      </c>
      <c r="P81" s="11">
        <f t="shared" si="25"/>
        <v>2500</v>
      </c>
      <c r="Q81" s="5"/>
      <c r="R81" s="20" t="s">
        <v>79</v>
      </c>
      <c r="S81" s="4"/>
      <c r="T81" s="4"/>
      <c r="U81" s="4"/>
      <c r="V81" s="4"/>
    </row>
    <row r="82" spans="1:22" ht="15.75">
      <c r="A82" s="4"/>
      <c r="B82" s="20" t="s">
        <v>142</v>
      </c>
      <c r="C82" s="8">
        <v>500</v>
      </c>
      <c r="D82" s="9">
        <v>500</v>
      </c>
      <c r="E82" s="10">
        <v>0</v>
      </c>
      <c r="F82" s="11">
        <v>0</v>
      </c>
      <c r="G82" s="10">
        <v>0</v>
      </c>
      <c r="H82" s="11">
        <v>0</v>
      </c>
      <c r="I82" s="10">
        <v>0</v>
      </c>
      <c r="J82" s="11">
        <v>0</v>
      </c>
      <c r="K82" s="10">
        <v>0</v>
      </c>
      <c r="L82" s="11">
        <v>0</v>
      </c>
      <c r="M82" s="10">
        <v>0</v>
      </c>
      <c r="N82" s="11">
        <v>0</v>
      </c>
      <c r="O82" s="10">
        <v>0</v>
      </c>
      <c r="P82" s="11">
        <f t="shared" si="25"/>
        <v>500</v>
      </c>
      <c r="Q82" s="5"/>
      <c r="R82" s="20" t="s">
        <v>80</v>
      </c>
      <c r="S82" s="4"/>
      <c r="T82" s="4"/>
      <c r="U82" s="4"/>
      <c r="V82" s="4"/>
    </row>
    <row r="83" spans="1:22" ht="15.75">
      <c r="A83" s="4"/>
      <c r="B83" s="20" t="s">
        <v>81</v>
      </c>
      <c r="C83" s="8">
        <v>387</v>
      </c>
      <c r="D83" s="9">
        <v>380</v>
      </c>
      <c r="E83" s="10">
        <v>380</v>
      </c>
      <c r="F83" s="11">
        <v>0</v>
      </c>
      <c r="G83" s="10">
        <v>0</v>
      </c>
      <c r="H83" s="11">
        <v>380</v>
      </c>
      <c r="I83" s="10">
        <v>380</v>
      </c>
      <c r="J83" s="11">
        <v>0</v>
      </c>
      <c r="K83" s="10">
        <v>0</v>
      </c>
      <c r="L83" s="11">
        <v>380</v>
      </c>
      <c r="M83" s="10">
        <v>380</v>
      </c>
      <c r="N83" s="11">
        <v>380</v>
      </c>
      <c r="O83" s="10">
        <v>380</v>
      </c>
      <c r="P83" s="11">
        <f t="shared" si="25"/>
        <v>3040</v>
      </c>
      <c r="Q83" s="5"/>
      <c r="R83" s="20" t="s">
        <v>81</v>
      </c>
      <c r="S83" s="4"/>
      <c r="T83" s="4"/>
      <c r="U83" s="4"/>
      <c r="V83" s="4"/>
    </row>
    <row r="84" spans="1:22" ht="15.75">
      <c r="A84" s="4"/>
      <c r="B84" s="20" t="s">
        <v>82</v>
      </c>
      <c r="C84" s="8">
        <v>0</v>
      </c>
      <c r="D84" s="9">
        <v>0</v>
      </c>
      <c r="E84" s="10">
        <v>0</v>
      </c>
      <c r="F84" s="11">
        <v>0</v>
      </c>
      <c r="G84" s="10">
        <v>0</v>
      </c>
      <c r="H84" s="11">
        <v>180</v>
      </c>
      <c r="I84" s="10">
        <v>180</v>
      </c>
      <c r="J84" s="11">
        <v>180</v>
      </c>
      <c r="K84" s="10">
        <v>180</v>
      </c>
      <c r="L84" s="11">
        <v>180</v>
      </c>
      <c r="M84" s="10">
        <v>180</v>
      </c>
      <c r="N84" s="11">
        <v>180</v>
      </c>
      <c r="O84" s="10">
        <v>180</v>
      </c>
      <c r="P84" s="11">
        <f t="shared" si="25"/>
        <v>1440</v>
      </c>
      <c r="Q84" s="5"/>
      <c r="R84" s="20" t="s">
        <v>82</v>
      </c>
      <c r="S84" s="4"/>
      <c r="T84" s="4"/>
      <c r="U84" s="4"/>
      <c r="V84" s="4"/>
    </row>
    <row r="85" spans="1:22" ht="15.75">
      <c r="A85" s="4"/>
      <c r="B85" s="20" t="s">
        <v>139</v>
      </c>
      <c r="C85" s="8">
        <v>162.34</v>
      </c>
      <c r="D85" s="9">
        <v>0</v>
      </c>
      <c r="E85" s="10">
        <v>0</v>
      </c>
      <c r="F85" s="11">
        <v>0</v>
      </c>
      <c r="G85" s="10">
        <v>100</v>
      </c>
      <c r="H85" s="11">
        <v>100</v>
      </c>
      <c r="I85" s="10">
        <v>100</v>
      </c>
      <c r="J85" s="11">
        <v>100</v>
      </c>
      <c r="K85" s="10">
        <v>100</v>
      </c>
      <c r="L85" s="11">
        <v>100</v>
      </c>
      <c r="M85" s="10">
        <v>100</v>
      </c>
      <c r="N85" s="11">
        <v>100</v>
      </c>
      <c r="O85" s="10">
        <v>100</v>
      </c>
      <c r="P85" s="11">
        <f t="shared" si="25"/>
        <v>900</v>
      </c>
      <c r="Q85" s="5"/>
      <c r="R85" s="20" t="s">
        <v>29</v>
      </c>
      <c r="S85" s="4"/>
      <c r="T85" s="4"/>
      <c r="U85" s="4"/>
      <c r="V85" s="4"/>
    </row>
    <row r="86" spans="1:22" ht="15.75">
      <c r="A86" s="4"/>
      <c r="B86" s="20" t="s">
        <v>83</v>
      </c>
      <c r="C86" s="8">
        <v>0</v>
      </c>
      <c r="D86" s="9">
        <v>0</v>
      </c>
      <c r="E86" s="10">
        <v>300</v>
      </c>
      <c r="F86" s="11">
        <v>300</v>
      </c>
      <c r="G86" s="10">
        <v>300</v>
      </c>
      <c r="H86" s="11">
        <v>300</v>
      </c>
      <c r="I86" s="10">
        <v>300</v>
      </c>
      <c r="J86" s="11">
        <v>300</v>
      </c>
      <c r="K86" s="10">
        <v>300</v>
      </c>
      <c r="L86" s="11">
        <v>300</v>
      </c>
      <c r="M86" s="10">
        <v>300</v>
      </c>
      <c r="N86" s="11">
        <v>300</v>
      </c>
      <c r="O86" s="10">
        <v>300</v>
      </c>
      <c r="P86" s="11">
        <f t="shared" si="25"/>
        <v>3300</v>
      </c>
      <c r="Q86" s="5"/>
      <c r="R86" s="20" t="s">
        <v>83</v>
      </c>
      <c r="S86" s="4"/>
      <c r="T86" s="4"/>
      <c r="U86" s="4"/>
      <c r="V86" s="4"/>
    </row>
    <row r="87" spans="1:22" ht="15.75">
      <c r="A87" s="4"/>
      <c r="B87" s="20" t="s">
        <v>84</v>
      </c>
      <c r="C87" s="8">
        <v>100</v>
      </c>
      <c r="D87" s="9">
        <v>0</v>
      </c>
      <c r="E87" s="10">
        <v>0</v>
      </c>
      <c r="F87" s="11">
        <v>0</v>
      </c>
      <c r="G87" s="10">
        <v>0</v>
      </c>
      <c r="H87" s="11">
        <v>0</v>
      </c>
      <c r="I87" s="10">
        <v>0</v>
      </c>
      <c r="J87" s="11">
        <v>0</v>
      </c>
      <c r="K87" s="10">
        <v>0</v>
      </c>
      <c r="L87" s="11">
        <v>0</v>
      </c>
      <c r="M87" s="10">
        <v>0</v>
      </c>
      <c r="N87" s="11">
        <v>0</v>
      </c>
      <c r="O87" s="10">
        <v>0</v>
      </c>
      <c r="P87" s="11">
        <f t="shared" si="25"/>
        <v>0</v>
      </c>
      <c r="Q87" s="5"/>
      <c r="R87" s="20" t="s">
        <v>84</v>
      </c>
      <c r="S87" s="4"/>
      <c r="T87" s="4"/>
      <c r="U87" s="4"/>
      <c r="V87" s="4"/>
    </row>
    <row r="88" spans="1:22" ht="15.75">
      <c r="A88" s="4"/>
      <c r="B88" s="20" t="s">
        <v>85</v>
      </c>
      <c r="C88" s="8">
        <v>0</v>
      </c>
      <c r="D88" s="9">
        <v>0</v>
      </c>
      <c r="E88" s="10">
        <v>0</v>
      </c>
      <c r="F88" s="11">
        <v>0</v>
      </c>
      <c r="G88" s="10">
        <v>0</v>
      </c>
      <c r="H88" s="11">
        <v>0</v>
      </c>
      <c r="I88" s="10">
        <v>0</v>
      </c>
      <c r="J88" s="11">
        <v>0</v>
      </c>
      <c r="K88" s="10">
        <v>0</v>
      </c>
      <c r="L88" s="11">
        <v>0</v>
      </c>
      <c r="M88" s="10">
        <v>0</v>
      </c>
      <c r="N88" s="11">
        <v>0</v>
      </c>
      <c r="O88" s="10">
        <v>0</v>
      </c>
      <c r="P88" s="11">
        <f t="shared" si="25"/>
        <v>0</v>
      </c>
      <c r="Q88" s="5"/>
      <c r="R88" s="20" t="s">
        <v>85</v>
      </c>
      <c r="S88" s="4"/>
      <c r="T88" s="4"/>
      <c r="U88" s="4"/>
      <c r="V88" s="4"/>
    </row>
    <row r="89" spans="2:18" s="39" customFormat="1" ht="18">
      <c r="B89" s="58" t="s">
        <v>162</v>
      </c>
      <c r="C89" s="36">
        <f>SUM(C77:C88)</f>
        <v>3339.7400000000002</v>
      </c>
      <c r="D89" s="36">
        <f aca="true" t="shared" si="26" ref="D89:O89">SUM(D77:D88)</f>
        <v>2797</v>
      </c>
      <c r="E89" s="36">
        <f t="shared" si="26"/>
        <v>2535</v>
      </c>
      <c r="F89" s="36">
        <f t="shared" si="26"/>
        <v>1905</v>
      </c>
      <c r="G89" s="36">
        <f t="shared" si="26"/>
        <v>2005</v>
      </c>
      <c r="H89" s="36">
        <f t="shared" si="26"/>
        <v>2815</v>
      </c>
      <c r="I89" s="36">
        <f t="shared" si="26"/>
        <v>2815</v>
      </c>
      <c r="J89" s="36">
        <f t="shared" si="26"/>
        <v>2435</v>
      </c>
      <c r="K89" s="36">
        <f t="shared" si="26"/>
        <v>2435</v>
      </c>
      <c r="L89" s="36">
        <f t="shared" si="26"/>
        <v>2815</v>
      </c>
      <c r="M89" s="36">
        <f t="shared" si="26"/>
        <v>2815</v>
      </c>
      <c r="N89" s="36">
        <f t="shared" si="26"/>
        <v>2815</v>
      </c>
      <c r="O89" s="36">
        <f t="shared" si="26"/>
        <v>2815</v>
      </c>
      <c r="P89" s="36">
        <f t="shared" si="25"/>
        <v>31002</v>
      </c>
      <c r="Q89" s="40">
        <f>P89/P20</f>
        <v>0.016880816869926724</v>
      </c>
      <c r="R89" s="58" t="s">
        <v>31</v>
      </c>
    </row>
    <row r="90" spans="1:22" ht="15.75">
      <c r="A90" s="4"/>
      <c r="B90" s="20"/>
      <c r="C90" s="8"/>
      <c r="D90" s="9"/>
      <c r="E90" s="10"/>
      <c r="F90" s="11"/>
      <c r="G90" s="10"/>
      <c r="H90" s="11"/>
      <c r="I90" s="10"/>
      <c r="J90" s="11"/>
      <c r="K90" s="10"/>
      <c r="L90" s="11"/>
      <c r="M90" s="10"/>
      <c r="N90" s="11"/>
      <c r="O90" s="10"/>
      <c r="P90" s="11"/>
      <c r="Q90" s="5"/>
      <c r="R90" s="20"/>
      <c r="S90" s="4"/>
      <c r="T90" s="4"/>
      <c r="U90" s="4"/>
      <c r="V90" s="4"/>
    </row>
    <row r="91" spans="1:22" ht="15.75">
      <c r="A91" s="4"/>
      <c r="B91" s="38" t="s">
        <v>86</v>
      </c>
      <c r="C91" s="8"/>
      <c r="D91" s="9"/>
      <c r="E91" s="10"/>
      <c r="F91" s="11"/>
      <c r="G91" s="10"/>
      <c r="H91" s="11"/>
      <c r="I91" s="10"/>
      <c r="J91" s="11"/>
      <c r="K91" s="10"/>
      <c r="L91" s="11"/>
      <c r="M91" s="10"/>
      <c r="N91" s="11"/>
      <c r="O91" s="10"/>
      <c r="P91" s="11"/>
      <c r="Q91" s="5"/>
      <c r="R91" s="22" t="s">
        <v>86</v>
      </c>
      <c r="S91" s="4"/>
      <c r="T91" s="4"/>
      <c r="U91" s="4"/>
      <c r="V91" s="4"/>
    </row>
    <row r="92" spans="1:22" ht="15.75">
      <c r="A92" s="4"/>
      <c r="B92" s="22" t="s">
        <v>146</v>
      </c>
      <c r="C92" s="8">
        <v>250</v>
      </c>
      <c r="D92" s="9">
        <v>250</v>
      </c>
      <c r="E92" s="10"/>
      <c r="F92" s="11"/>
      <c r="G92" s="10"/>
      <c r="H92" s="11"/>
      <c r="I92" s="10"/>
      <c r="J92" s="11"/>
      <c r="K92" s="10"/>
      <c r="L92" s="11"/>
      <c r="M92" s="10"/>
      <c r="N92" s="11"/>
      <c r="O92" s="10"/>
      <c r="P92" s="11"/>
      <c r="Q92" s="5"/>
      <c r="R92" s="22"/>
      <c r="S92" s="4"/>
      <c r="T92" s="4"/>
      <c r="U92" s="4"/>
      <c r="V92" s="4"/>
    </row>
    <row r="93" spans="1:22" ht="15.75">
      <c r="A93" s="4"/>
      <c r="B93" s="20" t="s">
        <v>87</v>
      </c>
      <c r="C93" s="8">
        <v>2158.93</v>
      </c>
      <c r="D93" s="9">
        <v>2159</v>
      </c>
      <c r="E93" s="10"/>
      <c r="F93" s="11"/>
      <c r="G93" s="10"/>
      <c r="H93" s="11">
        <v>1500</v>
      </c>
      <c r="I93" s="10">
        <v>1500</v>
      </c>
      <c r="J93" s="11">
        <v>1500</v>
      </c>
      <c r="K93" s="10">
        <v>1500</v>
      </c>
      <c r="L93" s="11">
        <v>1500</v>
      </c>
      <c r="M93" s="10">
        <v>1500</v>
      </c>
      <c r="N93" s="11">
        <v>1500</v>
      </c>
      <c r="O93" s="10">
        <v>1500</v>
      </c>
      <c r="P93" s="11">
        <f>SUM(D93:O93)</f>
        <v>14159</v>
      </c>
      <c r="Q93" s="5"/>
      <c r="R93" s="20" t="s">
        <v>87</v>
      </c>
      <c r="S93" s="4"/>
      <c r="T93" s="4"/>
      <c r="U93" s="4"/>
      <c r="V93" s="4"/>
    </row>
    <row r="94" spans="1:22" ht="15.75">
      <c r="A94" s="4"/>
      <c r="B94" s="20" t="s">
        <v>88</v>
      </c>
      <c r="C94" s="8">
        <v>2009.59</v>
      </c>
      <c r="D94" s="9">
        <v>2010</v>
      </c>
      <c r="E94" s="10"/>
      <c r="F94" s="11"/>
      <c r="G94" s="10"/>
      <c r="H94" s="11">
        <v>1200</v>
      </c>
      <c r="I94" s="10">
        <v>1200</v>
      </c>
      <c r="J94" s="11">
        <v>1200</v>
      </c>
      <c r="K94" s="10">
        <v>1200</v>
      </c>
      <c r="L94" s="11">
        <v>1200</v>
      </c>
      <c r="M94" s="10">
        <v>1200</v>
      </c>
      <c r="N94" s="11">
        <v>1200</v>
      </c>
      <c r="O94" s="10">
        <v>1200</v>
      </c>
      <c r="P94" s="11">
        <f>SUM(D94:O94)</f>
        <v>11610</v>
      </c>
      <c r="Q94" s="5"/>
      <c r="R94" s="20" t="s">
        <v>88</v>
      </c>
      <c r="S94" s="4"/>
      <c r="T94" s="4"/>
      <c r="U94" s="4"/>
      <c r="V94" s="4"/>
    </row>
    <row r="95" spans="1:22" ht="15.75">
      <c r="A95" s="4"/>
      <c r="B95" s="20" t="s">
        <v>89</v>
      </c>
      <c r="C95" s="8">
        <v>618</v>
      </c>
      <c r="D95" s="9">
        <v>618</v>
      </c>
      <c r="E95" s="10"/>
      <c r="F95" s="11"/>
      <c r="G95" s="10"/>
      <c r="H95" s="11">
        <v>800</v>
      </c>
      <c r="I95" s="10">
        <v>800</v>
      </c>
      <c r="J95" s="11">
        <v>800</v>
      </c>
      <c r="K95" s="10">
        <v>800</v>
      </c>
      <c r="L95" s="11">
        <v>800</v>
      </c>
      <c r="M95" s="10">
        <v>800</v>
      </c>
      <c r="N95" s="11">
        <v>800</v>
      </c>
      <c r="O95" s="10">
        <v>800</v>
      </c>
      <c r="P95" s="11">
        <f>SUM(D95:O95)</f>
        <v>7018</v>
      </c>
      <c r="Q95" s="5"/>
      <c r="R95" s="20" t="s">
        <v>89</v>
      </c>
      <c r="S95" s="4"/>
      <c r="T95" s="4"/>
      <c r="U95" s="4"/>
      <c r="V95" s="4"/>
    </row>
    <row r="96" spans="2:18" s="39" customFormat="1" ht="18">
      <c r="B96" s="37" t="s">
        <v>164</v>
      </c>
      <c r="C96" s="36">
        <f>SUM(C93:C95)</f>
        <v>4786.5199999999995</v>
      </c>
      <c r="D96" s="36">
        <f>SUM(D92:D95)</f>
        <v>5037</v>
      </c>
      <c r="E96" s="36">
        <v>5500</v>
      </c>
      <c r="F96" s="36">
        <v>3800</v>
      </c>
      <c r="G96" s="36">
        <v>3680</v>
      </c>
      <c r="H96" s="36">
        <f aca="true" t="shared" si="27" ref="H96:O96">SUM(H93:H95)</f>
        <v>3500</v>
      </c>
      <c r="I96" s="36">
        <f t="shared" si="27"/>
        <v>3500</v>
      </c>
      <c r="J96" s="36">
        <f t="shared" si="27"/>
        <v>3500</v>
      </c>
      <c r="K96" s="36">
        <f t="shared" si="27"/>
        <v>3500</v>
      </c>
      <c r="L96" s="36">
        <f t="shared" si="27"/>
        <v>3500</v>
      </c>
      <c r="M96" s="36">
        <f t="shared" si="27"/>
        <v>3500</v>
      </c>
      <c r="N96" s="36">
        <f t="shared" si="27"/>
        <v>3500</v>
      </c>
      <c r="O96" s="36">
        <f t="shared" si="27"/>
        <v>3500</v>
      </c>
      <c r="P96" s="36">
        <f>SUM(D96:O96)</f>
        <v>46017</v>
      </c>
      <c r="Q96" s="40">
        <f>P96/P20</f>
        <v>0.02505659473270815</v>
      </c>
      <c r="R96" s="37" t="s">
        <v>31</v>
      </c>
    </row>
    <row r="97" spans="1:22" ht="15.75">
      <c r="A97" s="4"/>
      <c r="B97" s="20"/>
      <c r="C97" s="4"/>
      <c r="D97" s="9"/>
      <c r="E97" s="10"/>
      <c r="F97" s="11"/>
      <c r="G97" s="10"/>
      <c r="H97" s="11"/>
      <c r="I97" s="10"/>
      <c r="J97" s="11"/>
      <c r="K97" s="10"/>
      <c r="L97" s="11"/>
      <c r="M97" s="10"/>
      <c r="N97" s="11"/>
      <c r="O97" s="10"/>
      <c r="P97" s="11"/>
      <c r="Q97" s="5"/>
      <c r="R97" s="20"/>
      <c r="S97" s="4"/>
      <c r="T97" s="4"/>
      <c r="U97" s="4"/>
      <c r="V97" s="4"/>
    </row>
    <row r="98" spans="1:22" ht="15.75">
      <c r="A98" s="4"/>
      <c r="B98" s="38" t="s">
        <v>90</v>
      </c>
      <c r="C98" s="8"/>
      <c r="D98" s="9"/>
      <c r="E98" s="10"/>
      <c r="F98" s="11"/>
      <c r="G98" s="10"/>
      <c r="H98" s="11"/>
      <c r="I98" s="10"/>
      <c r="J98" s="11"/>
      <c r="K98" s="10"/>
      <c r="L98" s="11"/>
      <c r="M98" s="10"/>
      <c r="N98" s="11"/>
      <c r="O98" s="10"/>
      <c r="P98" s="11"/>
      <c r="Q98" s="5"/>
      <c r="R98" s="22" t="s">
        <v>90</v>
      </c>
      <c r="S98" s="4"/>
      <c r="T98" s="4"/>
      <c r="U98" s="4"/>
      <c r="V98" s="4"/>
    </row>
    <row r="99" spans="1:22" ht="18">
      <c r="A99" s="4"/>
      <c r="B99" s="20" t="s">
        <v>91</v>
      </c>
      <c r="C99" s="8">
        <v>15446.27</v>
      </c>
      <c r="D99" s="9">
        <v>15446</v>
      </c>
      <c r="E99" s="10">
        <v>16546.7</v>
      </c>
      <c r="F99" s="11">
        <v>16546.7</v>
      </c>
      <c r="G99" s="10">
        <f aca="true" t="shared" si="28" ref="G99:O99">0.05*G20</f>
        <v>4642.1</v>
      </c>
      <c r="H99" s="11">
        <f t="shared" si="28"/>
        <v>7900</v>
      </c>
      <c r="I99" s="10">
        <f t="shared" si="28"/>
        <v>8295</v>
      </c>
      <c r="J99" s="11">
        <f t="shared" si="28"/>
        <v>7505</v>
      </c>
      <c r="K99" s="10">
        <f t="shared" si="28"/>
        <v>7870.275000000001</v>
      </c>
      <c r="L99" s="11">
        <f t="shared" si="28"/>
        <v>7900</v>
      </c>
      <c r="M99" s="10">
        <f t="shared" si="28"/>
        <v>7900</v>
      </c>
      <c r="N99" s="11">
        <f t="shared" si="28"/>
        <v>7900</v>
      </c>
      <c r="O99" s="10">
        <f t="shared" si="28"/>
        <v>7900</v>
      </c>
      <c r="P99" s="11">
        <f aca="true" t="shared" si="29" ref="P99:P104">SUM(D99:O99)</f>
        <v>116351.775</v>
      </c>
      <c r="Q99" s="42"/>
      <c r="R99" s="20" t="s">
        <v>91</v>
      </c>
      <c r="S99" s="4"/>
      <c r="T99" s="4"/>
      <c r="U99" s="4"/>
      <c r="V99" s="4"/>
    </row>
    <row r="100" spans="1:22" ht="15.75">
      <c r="A100" s="4"/>
      <c r="B100" s="20" t="s">
        <v>92</v>
      </c>
      <c r="C100" s="8">
        <v>0</v>
      </c>
      <c r="D100" s="9">
        <v>0</v>
      </c>
      <c r="E100" s="10">
        <v>670</v>
      </c>
      <c r="F100" s="11">
        <v>670</v>
      </c>
      <c r="G100" s="10">
        <v>670</v>
      </c>
      <c r="H100" s="11">
        <v>670</v>
      </c>
      <c r="I100" s="10">
        <v>670</v>
      </c>
      <c r="J100" s="11">
        <v>670</v>
      </c>
      <c r="K100" s="10">
        <v>670</v>
      </c>
      <c r="L100" s="11">
        <v>670</v>
      </c>
      <c r="M100" s="10">
        <v>670</v>
      </c>
      <c r="N100" s="11">
        <v>670</v>
      </c>
      <c r="O100" s="10">
        <v>670</v>
      </c>
      <c r="P100" s="11">
        <f t="shared" si="29"/>
        <v>7370</v>
      </c>
      <c r="Q100" s="5"/>
      <c r="R100" s="20" t="s">
        <v>92</v>
      </c>
      <c r="S100" s="4"/>
      <c r="T100" s="4"/>
      <c r="U100" s="4"/>
      <c r="V100" s="4"/>
    </row>
    <row r="101" spans="1:22" s="243" customFormat="1" ht="15.75">
      <c r="A101" s="235"/>
      <c r="B101" s="236" t="s">
        <v>171</v>
      </c>
      <c r="C101" s="237"/>
      <c r="D101" s="238"/>
      <c r="E101" s="239"/>
      <c r="F101" s="240"/>
      <c r="G101" s="241">
        <v>306</v>
      </c>
      <c r="H101" s="241">
        <v>306</v>
      </c>
      <c r="I101" s="241">
        <v>306</v>
      </c>
      <c r="J101" s="241">
        <v>306</v>
      </c>
      <c r="K101" s="241">
        <v>306</v>
      </c>
      <c r="L101" s="241">
        <v>306</v>
      </c>
      <c r="M101" s="241">
        <v>306</v>
      </c>
      <c r="N101" s="241">
        <v>306</v>
      </c>
      <c r="O101" s="241">
        <v>306</v>
      </c>
      <c r="P101" s="240">
        <f t="shared" si="29"/>
        <v>2754</v>
      </c>
      <c r="Q101" s="242"/>
      <c r="R101" s="236" t="s">
        <v>93</v>
      </c>
      <c r="S101" s="235"/>
      <c r="T101" s="235"/>
      <c r="U101" s="235"/>
      <c r="V101" s="235"/>
    </row>
    <row r="102" spans="1:22" s="243" customFormat="1" ht="15.75">
      <c r="A102" s="235"/>
      <c r="B102" s="236" t="s">
        <v>94</v>
      </c>
      <c r="C102" s="237"/>
      <c r="D102" s="238"/>
      <c r="E102" s="239"/>
      <c r="F102" s="240"/>
      <c r="G102" s="239">
        <v>50</v>
      </c>
      <c r="H102" s="240">
        <v>0</v>
      </c>
      <c r="I102" s="239">
        <v>0</v>
      </c>
      <c r="J102" s="240">
        <v>0</v>
      </c>
      <c r="K102" s="239">
        <v>0</v>
      </c>
      <c r="L102" s="240">
        <v>0</v>
      </c>
      <c r="M102" s="239">
        <v>0</v>
      </c>
      <c r="N102" s="240">
        <v>0</v>
      </c>
      <c r="O102" s="239">
        <v>0</v>
      </c>
      <c r="P102" s="240">
        <f t="shared" si="29"/>
        <v>50</v>
      </c>
      <c r="Q102" s="242"/>
      <c r="R102" s="236" t="s">
        <v>94</v>
      </c>
      <c r="S102" s="235"/>
      <c r="T102" s="235"/>
      <c r="U102" s="235"/>
      <c r="V102" s="235"/>
    </row>
    <row r="103" spans="1:22" ht="15.75">
      <c r="A103" s="4"/>
      <c r="B103" s="20" t="s">
        <v>95</v>
      </c>
      <c r="C103" s="8"/>
      <c r="D103" s="9"/>
      <c r="E103" s="10"/>
      <c r="F103" s="11"/>
      <c r="G103" s="10"/>
      <c r="H103" s="11">
        <v>50</v>
      </c>
      <c r="I103" s="10">
        <v>50</v>
      </c>
      <c r="J103" s="11">
        <v>50</v>
      </c>
      <c r="K103" s="10">
        <v>50</v>
      </c>
      <c r="L103" s="11">
        <v>50</v>
      </c>
      <c r="M103" s="10">
        <v>50</v>
      </c>
      <c r="N103" s="11">
        <v>50</v>
      </c>
      <c r="O103" s="10">
        <v>50</v>
      </c>
      <c r="P103" s="11">
        <f t="shared" si="29"/>
        <v>400</v>
      </c>
      <c r="Q103" s="5"/>
      <c r="R103" s="20" t="s">
        <v>95</v>
      </c>
      <c r="S103" s="4"/>
      <c r="T103" s="4"/>
      <c r="U103" s="4"/>
      <c r="V103" s="4"/>
    </row>
    <row r="104" spans="2:18" s="39" customFormat="1" ht="18">
      <c r="B104" s="37" t="s">
        <v>163</v>
      </c>
      <c r="C104" s="36">
        <f>SUM(C99:C103)</f>
        <v>15446.27</v>
      </c>
      <c r="D104" s="36">
        <f aca="true" t="shared" si="30" ref="D104:O104">SUM(D99:D103)</f>
        <v>15446</v>
      </c>
      <c r="E104" s="36">
        <f t="shared" si="30"/>
        <v>17216.7</v>
      </c>
      <c r="F104" s="36">
        <f t="shared" si="30"/>
        <v>17216.7</v>
      </c>
      <c r="G104" s="36">
        <f t="shared" si="30"/>
        <v>5668.1</v>
      </c>
      <c r="H104" s="36">
        <f t="shared" si="30"/>
        <v>8926</v>
      </c>
      <c r="I104" s="36">
        <f t="shared" si="30"/>
        <v>9321</v>
      </c>
      <c r="J104" s="36">
        <f t="shared" si="30"/>
        <v>8531</v>
      </c>
      <c r="K104" s="36">
        <f t="shared" si="30"/>
        <v>8896.275000000001</v>
      </c>
      <c r="L104" s="36">
        <f t="shared" si="30"/>
        <v>8926</v>
      </c>
      <c r="M104" s="36">
        <f t="shared" si="30"/>
        <v>8926</v>
      </c>
      <c r="N104" s="36">
        <f t="shared" si="30"/>
        <v>8926</v>
      </c>
      <c r="O104" s="36">
        <f t="shared" si="30"/>
        <v>8926</v>
      </c>
      <c r="P104" s="36">
        <f t="shared" si="29"/>
        <v>126925.775</v>
      </c>
      <c r="Q104" s="40">
        <f>P104/P20</f>
        <v>0.06911201741334505</v>
      </c>
      <c r="R104" s="37" t="s">
        <v>31</v>
      </c>
    </row>
    <row r="105" spans="1:22" ht="15.75">
      <c r="A105" s="4"/>
      <c r="B105" s="20"/>
      <c r="C105" s="8"/>
      <c r="D105" s="9"/>
      <c r="E105" s="10"/>
      <c r="F105" s="11"/>
      <c r="G105" s="10"/>
      <c r="H105" s="11"/>
      <c r="I105" s="10"/>
      <c r="J105" s="11"/>
      <c r="K105" s="10"/>
      <c r="L105" s="11"/>
      <c r="M105" s="10"/>
      <c r="N105" s="11"/>
      <c r="O105" s="10"/>
      <c r="P105" s="11"/>
      <c r="Q105" s="5"/>
      <c r="R105" s="20"/>
      <c r="S105" s="4"/>
      <c r="T105" s="4"/>
      <c r="U105" s="4"/>
      <c r="V105" s="4"/>
    </row>
    <row r="106" spans="1:22" ht="15.75">
      <c r="A106" s="4"/>
      <c r="B106" s="38" t="s">
        <v>96</v>
      </c>
      <c r="C106" s="8"/>
      <c r="D106" s="9"/>
      <c r="E106" s="10"/>
      <c r="F106" s="11"/>
      <c r="G106" s="10"/>
      <c r="H106" s="11"/>
      <c r="I106" s="10"/>
      <c r="J106" s="11"/>
      <c r="K106" s="10"/>
      <c r="L106" s="11"/>
      <c r="M106" s="10"/>
      <c r="N106" s="11"/>
      <c r="O106" s="10"/>
      <c r="P106" s="11"/>
      <c r="Q106" s="5"/>
      <c r="R106" s="22" t="s">
        <v>96</v>
      </c>
      <c r="S106" s="4"/>
      <c r="T106" s="4"/>
      <c r="U106" s="4"/>
      <c r="V106" s="4"/>
    </row>
    <row r="107" spans="1:22" ht="15.75">
      <c r="A107" s="4"/>
      <c r="B107" s="20" t="s">
        <v>97</v>
      </c>
      <c r="C107" s="8">
        <v>0</v>
      </c>
      <c r="D107" s="9">
        <v>0</v>
      </c>
      <c r="E107" s="10"/>
      <c r="F107" s="11"/>
      <c r="G107" s="10">
        <v>0</v>
      </c>
      <c r="H107" s="11">
        <v>100</v>
      </c>
      <c r="I107" s="10">
        <v>200</v>
      </c>
      <c r="J107" s="11">
        <v>200</v>
      </c>
      <c r="K107" s="10">
        <v>100</v>
      </c>
      <c r="L107" s="11">
        <v>100</v>
      </c>
      <c r="M107" s="10">
        <v>100</v>
      </c>
      <c r="N107" s="11">
        <v>100</v>
      </c>
      <c r="O107" s="10">
        <v>100</v>
      </c>
      <c r="P107" s="11">
        <f aca="true" t="shared" si="31" ref="P107:P112">SUM(D107:O107)</f>
        <v>1000</v>
      </c>
      <c r="Q107" s="5"/>
      <c r="R107" s="20" t="s">
        <v>97</v>
      </c>
      <c r="S107" s="4"/>
      <c r="T107" s="4"/>
      <c r="U107" s="4"/>
      <c r="V107" s="4"/>
    </row>
    <row r="108" spans="1:22" ht="15.75">
      <c r="A108" s="4"/>
      <c r="B108" s="20" t="s">
        <v>98</v>
      </c>
      <c r="C108" s="8">
        <v>2808</v>
      </c>
      <c r="D108" s="9"/>
      <c r="E108" s="10"/>
      <c r="F108" s="11"/>
      <c r="G108" s="10"/>
      <c r="H108" s="11">
        <v>800</v>
      </c>
      <c r="I108" s="10">
        <v>800</v>
      </c>
      <c r="J108" s="11">
        <v>800</v>
      </c>
      <c r="K108" s="10">
        <v>800</v>
      </c>
      <c r="L108" s="11">
        <v>800</v>
      </c>
      <c r="M108" s="10">
        <v>800</v>
      </c>
      <c r="N108" s="11">
        <v>800</v>
      </c>
      <c r="O108" s="10">
        <v>800</v>
      </c>
      <c r="P108" s="11">
        <f t="shared" si="31"/>
        <v>6400</v>
      </c>
      <c r="Q108" s="5"/>
      <c r="R108" s="20" t="s">
        <v>98</v>
      </c>
      <c r="S108" s="4"/>
      <c r="T108" s="4"/>
      <c r="U108" s="4"/>
      <c r="V108" s="4"/>
    </row>
    <row r="109" spans="1:22" ht="15.75">
      <c r="A109" s="4"/>
      <c r="B109" s="20" t="s">
        <v>99</v>
      </c>
      <c r="C109" s="8">
        <v>108.14</v>
      </c>
      <c r="D109" s="9"/>
      <c r="E109" s="10"/>
      <c r="F109" s="11"/>
      <c r="G109" s="10"/>
      <c r="H109" s="11">
        <v>1000</v>
      </c>
      <c r="I109" s="10">
        <v>1000</v>
      </c>
      <c r="J109" s="11">
        <v>1000</v>
      </c>
      <c r="K109" s="10">
        <v>1000</v>
      </c>
      <c r="L109" s="11">
        <v>1000</v>
      </c>
      <c r="M109" s="10">
        <v>1000</v>
      </c>
      <c r="N109" s="11">
        <v>1000</v>
      </c>
      <c r="O109" s="10">
        <v>1000</v>
      </c>
      <c r="P109" s="11">
        <f t="shared" si="31"/>
        <v>8000</v>
      </c>
      <c r="Q109" s="5"/>
      <c r="R109" s="20" t="s">
        <v>99</v>
      </c>
      <c r="S109" s="4"/>
      <c r="T109" s="4"/>
      <c r="U109" s="4"/>
      <c r="V109" s="4"/>
    </row>
    <row r="110" spans="1:22" ht="15.75">
      <c r="A110" s="4"/>
      <c r="B110" s="20" t="s">
        <v>100</v>
      </c>
      <c r="C110" s="8">
        <v>177</v>
      </c>
      <c r="D110" s="9"/>
      <c r="E110" s="10"/>
      <c r="F110" s="11"/>
      <c r="G110" s="10"/>
      <c r="H110" s="11">
        <v>0</v>
      </c>
      <c r="I110" s="10">
        <v>0</v>
      </c>
      <c r="J110" s="11">
        <v>0</v>
      </c>
      <c r="K110" s="10">
        <v>0</v>
      </c>
      <c r="L110" s="11">
        <v>0</v>
      </c>
      <c r="M110" s="10">
        <v>0</v>
      </c>
      <c r="N110" s="11">
        <v>0</v>
      </c>
      <c r="O110" s="10">
        <v>0</v>
      </c>
      <c r="P110" s="11">
        <f t="shared" si="31"/>
        <v>0</v>
      </c>
      <c r="Q110" s="5"/>
      <c r="R110" s="20" t="s">
        <v>100</v>
      </c>
      <c r="S110" s="4"/>
      <c r="T110" s="4"/>
      <c r="U110" s="4"/>
      <c r="V110" s="4"/>
    </row>
    <row r="111" spans="1:22" ht="15.75">
      <c r="A111" s="4"/>
      <c r="B111" s="20" t="s">
        <v>101</v>
      </c>
      <c r="C111" s="8">
        <v>36.52</v>
      </c>
      <c r="D111" s="9"/>
      <c r="E111" s="10"/>
      <c r="F111" s="11"/>
      <c r="G111" s="10"/>
      <c r="H111" s="11">
        <v>0</v>
      </c>
      <c r="I111" s="10">
        <v>0</v>
      </c>
      <c r="J111" s="11">
        <v>0</v>
      </c>
      <c r="K111" s="10">
        <v>0</v>
      </c>
      <c r="L111" s="11">
        <v>0</v>
      </c>
      <c r="M111" s="10">
        <v>0</v>
      </c>
      <c r="N111" s="11">
        <v>0</v>
      </c>
      <c r="O111" s="10">
        <v>0</v>
      </c>
      <c r="P111" s="11">
        <f t="shared" si="31"/>
        <v>0</v>
      </c>
      <c r="Q111" s="5"/>
      <c r="R111" s="20" t="s">
        <v>101</v>
      </c>
      <c r="S111" s="4"/>
      <c r="T111" s="4"/>
      <c r="U111" s="4"/>
      <c r="V111" s="4"/>
    </row>
    <row r="112" spans="1:22" ht="15.75">
      <c r="A112" s="4"/>
      <c r="B112" s="20" t="s">
        <v>167</v>
      </c>
      <c r="C112" s="8">
        <f>SUM(C107:C111)</f>
        <v>3129.66</v>
      </c>
      <c r="D112" s="9">
        <v>1500</v>
      </c>
      <c r="E112" s="10">
        <v>1000</v>
      </c>
      <c r="F112" s="11">
        <v>800</v>
      </c>
      <c r="G112" s="10">
        <v>800</v>
      </c>
      <c r="H112" s="11">
        <f aca="true" t="shared" si="32" ref="H112:O112">SUM(H107:H111)</f>
        <v>1900</v>
      </c>
      <c r="I112" s="10">
        <f t="shared" si="32"/>
        <v>2000</v>
      </c>
      <c r="J112" s="11">
        <f t="shared" si="32"/>
        <v>2000</v>
      </c>
      <c r="K112" s="10">
        <f t="shared" si="32"/>
        <v>1900</v>
      </c>
      <c r="L112" s="11">
        <f t="shared" si="32"/>
        <v>1900</v>
      </c>
      <c r="M112" s="10">
        <f t="shared" si="32"/>
        <v>1900</v>
      </c>
      <c r="N112" s="11">
        <f t="shared" si="32"/>
        <v>1900</v>
      </c>
      <c r="O112" s="10">
        <f t="shared" si="32"/>
        <v>1900</v>
      </c>
      <c r="P112" s="18">
        <f t="shared" si="31"/>
        <v>19500</v>
      </c>
      <c r="Q112" s="21">
        <f>P112/P20</f>
        <v>0.010617893328287565</v>
      </c>
      <c r="R112" s="20" t="s">
        <v>31</v>
      </c>
      <c r="S112" s="4"/>
      <c r="T112" s="4"/>
      <c r="U112" s="4"/>
      <c r="V112" s="4"/>
    </row>
    <row r="113" spans="1:22" ht="15.75">
      <c r="A113" s="4"/>
      <c r="B113" s="20"/>
      <c r="C113" s="8"/>
      <c r="D113" s="9"/>
      <c r="E113" s="10"/>
      <c r="F113" s="11"/>
      <c r="G113" s="10"/>
      <c r="H113" s="11"/>
      <c r="I113" s="10"/>
      <c r="J113" s="11"/>
      <c r="K113" s="10"/>
      <c r="L113" s="11"/>
      <c r="M113" s="10"/>
      <c r="N113" s="11"/>
      <c r="O113" s="10"/>
      <c r="P113" s="11"/>
      <c r="Q113" s="5"/>
      <c r="R113" s="20"/>
      <c r="S113" s="4"/>
      <c r="T113" s="4"/>
      <c r="U113" s="4"/>
      <c r="V113" s="4"/>
    </row>
    <row r="114" spans="1:22" s="67" customFormat="1" ht="15.75">
      <c r="A114" s="59"/>
      <c r="B114" s="60" t="s">
        <v>102</v>
      </c>
      <c r="C114" s="61"/>
      <c r="D114" s="62"/>
      <c r="E114" s="63"/>
      <c r="F114" s="64"/>
      <c r="G114" s="63"/>
      <c r="H114" s="64"/>
      <c r="I114" s="63"/>
      <c r="J114" s="64"/>
      <c r="K114" s="63"/>
      <c r="L114" s="64"/>
      <c r="M114" s="63"/>
      <c r="N114" s="64"/>
      <c r="O114" s="63"/>
      <c r="P114" s="64"/>
      <c r="Q114" s="65"/>
      <c r="R114" s="66" t="s">
        <v>102</v>
      </c>
      <c r="S114" s="59"/>
      <c r="T114" s="59"/>
      <c r="U114" s="59"/>
      <c r="V114" s="59"/>
    </row>
    <row r="115" spans="1:22" s="67" customFormat="1" ht="15.75">
      <c r="A115" s="59"/>
      <c r="B115" s="68" t="s">
        <v>103</v>
      </c>
      <c r="C115" s="61"/>
      <c r="D115" s="62"/>
      <c r="E115" s="63"/>
      <c r="F115" s="64"/>
      <c r="G115" s="63"/>
      <c r="H115" s="64"/>
      <c r="I115" s="63"/>
      <c r="J115" s="64"/>
      <c r="K115" s="63"/>
      <c r="L115" s="64"/>
      <c r="M115" s="63"/>
      <c r="N115" s="64"/>
      <c r="O115" s="63"/>
      <c r="P115" s="64">
        <f>SUM(D115:O115)</f>
        <v>0</v>
      </c>
      <c r="Q115" s="65"/>
      <c r="R115" s="68" t="s">
        <v>103</v>
      </c>
      <c r="S115" s="59"/>
      <c r="T115" s="59"/>
      <c r="U115" s="59"/>
      <c r="V115" s="59"/>
    </row>
    <row r="116" spans="1:22" s="67" customFormat="1" ht="15.75">
      <c r="A116" s="59"/>
      <c r="B116" s="68" t="s">
        <v>104</v>
      </c>
      <c r="C116" s="61"/>
      <c r="D116" s="62"/>
      <c r="E116" s="63"/>
      <c r="F116" s="64"/>
      <c r="G116" s="63"/>
      <c r="H116" s="64"/>
      <c r="I116" s="63"/>
      <c r="J116" s="64"/>
      <c r="K116" s="63"/>
      <c r="L116" s="64"/>
      <c r="M116" s="63"/>
      <c r="N116" s="64"/>
      <c r="O116" s="63"/>
      <c r="P116" s="64">
        <f>SUM(D116:O116)</f>
        <v>0</v>
      </c>
      <c r="Q116" s="65"/>
      <c r="R116" s="68" t="s">
        <v>104</v>
      </c>
      <c r="S116" s="59"/>
      <c r="T116" s="59"/>
      <c r="U116" s="59"/>
      <c r="V116" s="59"/>
    </row>
    <row r="117" spans="1:22" s="67" customFormat="1" ht="15.75">
      <c r="A117" s="59"/>
      <c r="B117" s="69" t="s">
        <v>165</v>
      </c>
      <c r="C117" s="61">
        <v>2300</v>
      </c>
      <c r="D117" s="62">
        <v>2300</v>
      </c>
      <c r="E117" s="63">
        <v>2300</v>
      </c>
      <c r="F117" s="64">
        <v>2300</v>
      </c>
      <c r="G117" s="63">
        <v>1700</v>
      </c>
      <c r="H117" s="64">
        <v>1791</v>
      </c>
      <c r="I117" s="63">
        <v>1791</v>
      </c>
      <c r="J117" s="64">
        <v>1791</v>
      </c>
      <c r="K117" s="63">
        <v>1791</v>
      </c>
      <c r="L117" s="64">
        <v>1791</v>
      </c>
      <c r="M117" s="63">
        <v>1791</v>
      </c>
      <c r="N117" s="64">
        <v>1791</v>
      </c>
      <c r="O117" s="63">
        <v>1791</v>
      </c>
      <c r="P117" s="70">
        <f>SUM(D117:O117)</f>
        <v>22928</v>
      </c>
      <c r="Q117" s="71">
        <f>P117/P20</f>
        <v>0.012484464524665503</v>
      </c>
      <c r="R117" s="68" t="s">
        <v>31</v>
      </c>
      <c r="S117" s="59"/>
      <c r="T117" s="59"/>
      <c r="U117" s="59"/>
      <c r="V117" s="59"/>
    </row>
    <row r="118" spans="1:22" ht="15.75">
      <c r="A118" s="4"/>
      <c r="B118" s="20"/>
      <c r="C118" s="8"/>
      <c r="D118" s="9"/>
      <c r="E118" s="10"/>
      <c r="F118" s="11"/>
      <c r="G118" s="10"/>
      <c r="H118" s="11"/>
      <c r="I118" s="10"/>
      <c r="J118" s="11"/>
      <c r="K118" s="10"/>
      <c r="L118" s="11"/>
      <c r="M118" s="10"/>
      <c r="N118" s="11"/>
      <c r="O118" s="10"/>
      <c r="P118" s="11"/>
      <c r="Q118" s="5"/>
      <c r="R118" s="20"/>
      <c r="S118" s="4"/>
      <c r="T118" s="4"/>
      <c r="U118" s="4"/>
      <c r="V118" s="4"/>
    </row>
    <row r="119" spans="1:22" ht="15.75">
      <c r="A119" s="4"/>
      <c r="B119" s="38" t="s">
        <v>105</v>
      </c>
      <c r="C119" s="8"/>
      <c r="D119" s="9"/>
      <c r="E119" s="10"/>
      <c r="F119" s="11"/>
      <c r="G119" s="10"/>
      <c r="H119" s="11"/>
      <c r="I119" s="10"/>
      <c r="J119" s="11"/>
      <c r="K119" s="10"/>
      <c r="L119" s="11"/>
      <c r="M119" s="10"/>
      <c r="N119" s="11"/>
      <c r="O119" s="10"/>
      <c r="P119" s="11">
        <f aca="true" t="shared" si="33" ref="P119:P156">SUM(D119:O119)</f>
        <v>0</v>
      </c>
      <c r="Q119" s="5"/>
      <c r="R119" s="22" t="s">
        <v>105</v>
      </c>
      <c r="S119" s="4"/>
      <c r="T119" s="4"/>
      <c r="U119" s="4"/>
      <c r="V119" s="4"/>
    </row>
    <row r="120" spans="1:22" ht="15.75">
      <c r="A120" s="4"/>
      <c r="B120" s="20" t="s">
        <v>106</v>
      </c>
      <c r="C120" s="8">
        <v>122.03</v>
      </c>
      <c r="D120" s="9">
        <v>50</v>
      </c>
      <c r="E120" s="10">
        <v>150</v>
      </c>
      <c r="F120" s="11">
        <v>50</v>
      </c>
      <c r="G120" s="10">
        <v>50</v>
      </c>
      <c r="H120" s="11">
        <v>100</v>
      </c>
      <c r="I120" s="10">
        <v>100</v>
      </c>
      <c r="J120" s="11">
        <v>100</v>
      </c>
      <c r="K120" s="10">
        <v>100</v>
      </c>
      <c r="L120" s="11">
        <v>100</v>
      </c>
      <c r="M120" s="10">
        <v>100</v>
      </c>
      <c r="N120" s="11">
        <v>100</v>
      </c>
      <c r="O120" s="10">
        <v>100</v>
      </c>
      <c r="P120" s="11">
        <f t="shared" si="33"/>
        <v>1100</v>
      </c>
      <c r="Q120" s="5"/>
      <c r="R120" s="20" t="s">
        <v>106</v>
      </c>
      <c r="S120" s="4"/>
      <c r="T120" s="4"/>
      <c r="U120" s="4"/>
      <c r="V120" s="4"/>
    </row>
    <row r="121" spans="1:22" ht="15.75">
      <c r="A121" s="4"/>
      <c r="B121" s="20" t="s">
        <v>107</v>
      </c>
      <c r="C121" s="8">
        <v>2638.73</v>
      </c>
      <c r="D121" s="9">
        <f aca="true" t="shared" si="34" ref="D121:O121">0.015*D20</f>
        <v>2760</v>
      </c>
      <c r="E121" s="10">
        <f t="shared" si="34"/>
        <v>2539.5</v>
      </c>
      <c r="F121" s="11">
        <f t="shared" si="34"/>
        <v>1904.625</v>
      </c>
      <c r="G121" s="10">
        <f t="shared" si="34"/>
        <v>1392.6299999999999</v>
      </c>
      <c r="H121" s="11">
        <f t="shared" si="34"/>
        <v>2370</v>
      </c>
      <c r="I121" s="10">
        <f t="shared" si="34"/>
        <v>2488.5</v>
      </c>
      <c r="J121" s="11">
        <f t="shared" si="34"/>
        <v>2251.5</v>
      </c>
      <c r="K121" s="10">
        <f t="shared" si="34"/>
        <v>2361.0825</v>
      </c>
      <c r="L121" s="11">
        <f t="shared" si="34"/>
        <v>2370</v>
      </c>
      <c r="M121" s="10">
        <f t="shared" si="34"/>
        <v>2370</v>
      </c>
      <c r="N121" s="11">
        <f t="shared" si="34"/>
        <v>2370</v>
      </c>
      <c r="O121" s="10">
        <f t="shared" si="34"/>
        <v>2370</v>
      </c>
      <c r="P121" s="11">
        <f t="shared" si="33"/>
        <v>27547.837499999998</v>
      </c>
      <c r="Q121" s="5"/>
      <c r="R121" s="20" t="s">
        <v>107</v>
      </c>
      <c r="S121" s="4"/>
      <c r="T121" s="4"/>
      <c r="U121" s="4"/>
      <c r="V121" s="4"/>
    </row>
    <row r="122" spans="1:22" ht="15.75">
      <c r="A122" s="4"/>
      <c r="B122" s="20" t="s">
        <v>108</v>
      </c>
      <c r="C122" s="8">
        <v>301.16</v>
      </c>
      <c r="D122" s="9">
        <v>301</v>
      </c>
      <c r="E122" s="10">
        <v>0</v>
      </c>
      <c r="F122" s="11">
        <v>0</v>
      </c>
      <c r="G122" s="10">
        <v>0</v>
      </c>
      <c r="H122" s="11">
        <v>0</v>
      </c>
      <c r="I122" s="10">
        <v>0</v>
      </c>
      <c r="J122" s="11">
        <v>0</v>
      </c>
      <c r="K122" s="10">
        <v>0</v>
      </c>
      <c r="L122" s="11">
        <v>0</v>
      </c>
      <c r="M122" s="10">
        <v>0</v>
      </c>
      <c r="N122" s="11">
        <v>0</v>
      </c>
      <c r="O122" s="10">
        <v>0</v>
      </c>
      <c r="P122" s="11">
        <f t="shared" si="33"/>
        <v>301</v>
      </c>
      <c r="Q122" s="5"/>
      <c r="R122" s="20" t="s">
        <v>108</v>
      </c>
      <c r="S122" s="4"/>
      <c r="T122" s="4"/>
      <c r="U122" s="4"/>
      <c r="V122" s="4"/>
    </row>
    <row r="123" spans="1:22" ht="15.75">
      <c r="A123" s="4"/>
      <c r="B123" s="20" t="s">
        <v>143</v>
      </c>
      <c r="C123" s="8">
        <v>178.48</v>
      </c>
      <c r="D123" s="9">
        <v>178</v>
      </c>
      <c r="E123" s="10">
        <v>200</v>
      </c>
      <c r="F123" s="9">
        <v>200</v>
      </c>
      <c r="G123" s="10">
        <v>200</v>
      </c>
      <c r="H123" s="9">
        <v>200</v>
      </c>
      <c r="I123" s="10">
        <v>200</v>
      </c>
      <c r="J123" s="9">
        <v>200</v>
      </c>
      <c r="K123" s="10">
        <v>200</v>
      </c>
      <c r="L123" s="9">
        <v>200</v>
      </c>
      <c r="M123" s="10">
        <v>200</v>
      </c>
      <c r="N123" s="9">
        <v>200</v>
      </c>
      <c r="O123" s="10">
        <v>200</v>
      </c>
      <c r="P123" s="11">
        <f t="shared" si="33"/>
        <v>2378</v>
      </c>
      <c r="Q123" s="5"/>
      <c r="R123" s="20" t="s">
        <v>109</v>
      </c>
      <c r="S123" s="4"/>
      <c r="T123" s="4"/>
      <c r="U123" s="4"/>
      <c r="V123" s="4"/>
    </row>
    <row r="124" spans="1:22" s="243" customFormat="1" ht="15.75">
      <c r="A124" s="235"/>
      <c r="B124" s="236" t="s">
        <v>110</v>
      </c>
      <c r="C124" s="237">
        <v>2457.27</v>
      </c>
      <c r="D124" s="238">
        <v>2457</v>
      </c>
      <c r="E124" s="239">
        <v>2800</v>
      </c>
      <c r="F124" s="240">
        <v>2800</v>
      </c>
      <c r="G124" s="239">
        <v>2800</v>
      </c>
      <c r="H124" s="240">
        <v>2200</v>
      </c>
      <c r="I124" s="239">
        <v>2200</v>
      </c>
      <c r="J124" s="240">
        <v>2200</v>
      </c>
      <c r="K124" s="239">
        <v>2200</v>
      </c>
      <c r="L124" s="240">
        <v>2200</v>
      </c>
      <c r="M124" s="239">
        <v>2200</v>
      </c>
      <c r="N124" s="240">
        <v>2200</v>
      </c>
      <c r="O124" s="239">
        <v>2200</v>
      </c>
      <c r="P124" s="240">
        <f t="shared" si="33"/>
        <v>28457</v>
      </c>
      <c r="Q124" s="242"/>
      <c r="R124" s="236" t="s">
        <v>110</v>
      </c>
      <c r="S124" s="235"/>
      <c r="T124" s="235"/>
      <c r="U124" s="235"/>
      <c r="V124" s="235"/>
    </row>
    <row r="125" spans="1:22" s="243" customFormat="1" ht="15.75">
      <c r="A125" s="235"/>
      <c r="B125" s="236" t="s">
        <v>111</v>
      </c>
      <c r="C125" s="237">
        <v>674</v>
      </c>
      <c r="D125" s="238">
        <v>0</v>
      </c>
      <c r="E125" s="239"/>
      <c r="F125" s="240"/>
      <c r="G125" s="239"/>
      <c r="H125" s="240"/>
      <c r="I125" s="239"/>
      <c r="J125" s="240"/>
      <c r="K125" s="239"/>
      <c r="L125" s="240"/>
      <c r="M125" s="239"/>
      <c r="N125" s="240"/>
      <c r="O125" s="239"/>
      <c r="P125" s="240">
        <f t="shared" si="33"/>
        <v>0</v>
      </c>
      <c r="Q125" s="242"/>
      <c r="R125" s="236" t="s">
        <v>111</v>
      </c>
      <c r="S125" s="235"/>
      <c r="T125" s="235"/>
      <c r="U125" s="235"/>
      <c r="V125" s="235"/>
    </row>
    <row r="126" spans="1:22" ht="15.75">
      <c r="A126" s="4"/>
      <c r="B126" s="20" t="s">
        <v>112</v>
      </c>
      <c r="C126" s="8">
        <v>700</v>
      </c>
      <c r="D126" s="9">
        <v>0</v>
      </c>
      <c r="E126" s="10"/>
      <c r="F126" s="11"/>
      <c r="G126" s="10"/>
      <c r="H126" s="11"/>
      <c r="I126" s="10"/>
      <c r="J126" s="11"/>
      <c r="K126" s="10"/>
      <c r="L126" s="11"/>
      <c r="M126" s="10"/>
      <c r="N126" s="11"/>
      <c r="O126" s="10"/>
      <c r="P126" s="11">
        <f t="shared" si="33"/>
        <v>0</v>
      </c>
      <c r="Q126" s="5"/>
      <c r="R126" s="20" t="s">
        <v>112</v>
      </c>
      <c r="S126" s="4"/>
      <c r="T126" s="4"/>
      <c r="U126" s="4"/>
      <c r="V126" s="4"/>
    </row>
    <row r="127" spans="1:22" ht="15.75">
      <c r="A127" s="4"/>
      <c r="B127" s="20" t="s">
        <v>113</v>
      </c>
      <c r="C127" s="8">
        <v>109.89</v>
      </c>
      <c r="D127" s="9">
        <v>110</v>
      </c>
      <c r="E127" s="10">
        <v>150</v>
      </c>
      <c r="F127" s="11">
        <v>0</v>
      </c>
      <c r="G127" s="10">
        <v>0</v>
      </c>
      <c r="H127" s="11">
        <v>100</v>
      </c>
      <c r="I127" s="10">
        <v>100</v>
      </c>
      <c r="J127" s="11">
        <v>100</v>
      </c>
      <c r="K127" s="10">
        <v>100</v>
      </c>
      <c r="L127" s="11">
        <v>100</v>
      </c>
      <c r="M127" s="10">
        <v>100</v>
      </c>
      <c r="N127" s="11">
        <v>100</v>
      </c>
      <c r="O127" s="10">
        <v>100</v>
      </c>
      <c r="P127" s="11">
        <f t="shared" si="33"/>
        <v>1060</v>
      </c>
      <c r="Q127" s="5"/>
      <c r="R127" s="20" t="s">
        <v>113</v>
      </c>
      <c r="S127" s="4"/>
      <c r="T127" s="4"/>
      <c r="U127" s="4"/>
      <c r="V127" s="4"/>
    </row>
    <row r="128" spans="1:22" ht="15.75">
      <c r="A128" s="4"/>
      <c r="B128" s="20" t="s">
        <v>114</v>
      </c>
      <c r="C128" s="8">
        <v>390.5</v>
      </c>
      <c r="D128" s="9">
        <v>391</v>
      </c>
      <c r="E128" s="10">
        <v>100</v>
      </c>
      <c r="F128" s="11">
        <v>0</v>
      </c>
      <c r="G128" s="10">
        <v>500</v>
      </c>
      <c r="H128" s="11">
        <v>600</v>
      </c>
      <c r="I128" s="10">
        <v>600</v>
      </c>
      <c r="J128" s="11">
        <v>600</v>
      </c>
      <c r="K128" s="10">
        <v>600</v>
      </c>
      <c r="L128" s="11">
        <v>600</v>
      </c>
      <c r="M128" s="10">
        <v>600</v>
      </c>
      <c r="N128" s="11">
        <v>600</v>
      </c>
      <c r="O128" s="10">
        <v>600</v>
      </c>
      <c r="P128" s="11">
        <f t="shared" si="33"/>
        <v>5791</v>
      </c>
      <c r="Q128" s="5"/>
      <c r="R128" s="20" t="s">
        <v>114</v>
      </c>
      <c r="S128" s="4"/>
      <c r="T128" s="4"/>
      <c r="U128" s="4"/>
      <c r="V128" s="4"/>
    </row>
    <row r="129" spans="1:22" ht="15.75">
      <c r="A129" s="4"/>
      <c r="B129" s="20" t="s">
        <v>115</v>
      </c>
      <c r="C129" s="8">
        <v>2261.19</v>
      </c>
      <c r="D129" s="9">
        <v>2200</v>
      </c>
      <c r="E129" s="10">
        <v>2200</v>
      </c>
      <c r="F129" s="11">
        <v>2200</v>
      </c>
      <c r="G129" s="10">
        <v>2200</v>
      </c>
      <c r="H129" s="11">
        <v>2200</v>
      </c>
      <c r="I129" s="10">
        <v>2200</v>
      </c>
      <c r="J129" s="11">
        <v>2200</v>
      </c>
      <c r="K129" s="10">
        <v>2200</v>
      </c>
      <c r="L129" s="11">
        <v>2200</v>
      </c>
      <c r="M129" s="10">
        <v>2200</v>
      </c>
      <c r="N129" s="11">
        <v>2200</v>
      </c>
      <c r="O129" s="10">
        <v>2200</v>
      </c>
      <c r="P129" s="11">
        <f t="shared" si="33"/>
        <v>26400</v>
      </c>
      <c r="Q129" s="5"/>
      <c r="R129" s="20" t="s">
        <v>115</v>
      </c>
      <c r="S129" s="4"/>
      <c r="T129" s="4"/>
      <c r="U129" s="4"/>
      <c r="V129" s="4"/>
    </row>
    <row r="130" spans="1:22" ht="15.75">
      <c r="A130" s="4"/>
      <c r="B130" s="20" t="s">
        <v>116</v>
      </c>
      <c r="C130" s="8">
        <v>119.2</v>
      </c>
      <c r="D130" s="9">
        <v>100</v>
      </c>
      <c r="E130" s="10">
        <v>100</v>
      </c>
      <c r="F130" s="11">
        <v>100</v>
      </c>
      <c r="G130" s="10">
        <v>50</v>
      </c>
      <c r="H130" s="11">
        <v>80</v>
      </c>
      <c r="I130" s="10">
        <v>80</v>
      </c>
      <c r="J130" s="11">
        <v>80</v>
      </c>
      <c r="K130" s="10">
        <v>80</v>
      </c>
      <c r="L130" s="11">
        <v>80</v>
      </c>
      <c r="M130" s="10">
        <v>80</v>
      </c>
      <c r="N130" s="11">
        <v>80</v>
      </c>
      <c r="O130" s="10">
        <v>80</v>
      </c>
      <c r="P130" s="11">
        <f t="shared" si="33"/>
        <v>990</v>
      </c>
      <c r="Q130" s="5"/>
      <c r="R130" s="20" t="s">
        <v>116</v>
      </c>
      <c r="S130" s="4"/>
      <c r="T130" s="4"/>
      <c r="U130" s="4"/>
      <c r="V130" s="4"/>
    </row>
    <row r="131" spans="1:22" ht="15.75">
      <c r="A131" s="4"/>
      <c r="B131" s="20" t="s">
        <v>117</v>
      </c>
      <c r="C131" s="8">
        <v>0</v>
      </c>
      <c r="D131" s="9">
        <v>0</v>
      </c>
      <c r="E131" s="10">
        <v>0</v>
      </c>
      <c r="F131" s="11">
        <v>0</v>
      </c>
      <c r="G131" s="10">
        <v>2500</v>
      </c>
      <c r="H131" s="11">
        <v>0</v>
      </c>
      <c r="I131" s="10">
        <v>0</v>
      </c>
      <c r="J131" s="11">
        <v>0</v>
      </c>
      <c r="K131" s="10">
        <v>0</v>
      </c>
      <c r="L131" s="11">
        <v>0</v>
      </c>
      <c r="M131" s="10">
        <v>0</v>
      </c>
      <c r="N131" s="11">
        <v>0</v>
      </c>
      <c r="O131" s="10">
        <v>0</v>
      </c>
      <c r="P131" s="11">
        <f t="shared" si="33"/>
        <v>2500</v>
      </c>
      <c r="Q131" s="5"/>
      <c r="R131" s="20" t="s">
        <v>117</v>
      </c>
      <c r="S131" s="4"/>
      <c r="T131" s="4"/>
      <c r="U131" s="4"/>
      <c r="V131" s="4"/>
    </row>
    <row r="132" spans="1:22" ht="15.75">
      <c r="A132" s="4"/>
      <c r="B132" s="20" t="s">
        <v>118</v>
      </c>
      <c r="C132" s="8">
        <v>1100</v>
      </c>
      <c r="D132" s="9">
        <v>1100</v>
      </c>
      <c r="E132" s="10"/>
      <c r="F132" s="11"/>
      <c r="G132" s="10"/>
      <c r="H132" s="11">
        <v>0</v>
      </c>
      <c r="I132" s="10">
        <v>0</v>
      </c>
      <c r="J132" s="11">
        <v>0</v>
      </c>
      <c r="K132" s="10">
        <v>0</v>
      </c>
      <c r="L132" s="11">
        <v>0</v>
      </c>
      <c r="M132" s="10">
        <v>0</v>
      </c>
      <c r="N132" s="11">
        <v>0</v>
      </c>
      <c r="O132" s="10">
        <v>0</v>
      </c>
      <c r="P132" s="11">
        <f t="shared" si="33"/>
        <v>1100</v>
      </c>
      <c r="Q132" s="5"/>
      <c r="R132" s="20" t="s">
        <v>118</v>
      </c>
      <c r="S132" s="4"/>
      <c r="T132" s="4"/>
      <c r="U132" s="4"/>
      <c r="V132" s="4"/>
    </row>
    <row r="133" spans="1:22" ht="15.75">
      <c r="A133" s="4"/>
      <c r="B133" s="20" t="s">
        <v>119</v>
      </c>
      <c r="C133" s="8">
        <v>787.79</v>
      </c>
      <c r="D133" s="9">
        <v>215</v>
      </c>
      <c r="E133" s="10"/>
      <c r="F133" s="11"/>
      <c r="G133" s="10"/>
      <c r="H133" s="11">
        <v>0</v>
      </c>
      <c r="I133" s="10">
        <v>0</v>
      </c>
      <c r="J133" s="11">
        <v>0</v>
      </c>
      <c r="K133" s="10">
        <v>0</v>
      </c>
      <c r="L133" s="11">
        <v>0</v>
      </c>
      <c r="M133" s="10">
        <v>0</v>
      </c>
      <c r="N133" s="11">
        <v>0</v>
      </c>
      <c r="O133" s="10">
        <v>0</v>
      </c>
      <c r="P133" s="11">
        <f t="shared" si="33"/>
        <v>215</v>
      </c>
      <c r="Q133" s="5"/>
      <c r="R133" s="20" t="s">
        <v>119</v>
      </c>
      <c r="S133" s="4"/>
      <c r="T133" s="4"/>
      <c r="U133" s="4"/>
      <c r="V133" s="4"/>
    </row>
    <row r="134" spans="1:22" ht="15.75">
      <c r="A134" s="4"/>
      <c r="B134" s="20" t="s">
        <v>120</v>
      </c>
      <c r="C134" s="8">
        <v>868.17</v>
      </c>
      <c r="D134" s="9">
        <v>868</v>
      </c>
      <c r="E134" s="10">
        <v>1000</v>
      </c>
      <c r="F134" s="11">
        <v>2000</v>
      </c>
      <c r="G134" s="10">
        <v>1000</v>
      </c>
      <c r="H134" s="11">
        <v>1000</v>
      </c>
      <c r="I134" s="10">
        <v>1000</v>
      </c>
      <c r="J134" s="11">
        <v>1000</v>
      </c>
      <c r="K134" s="10">
        <v>1000</v>
      </c>
      <c r="L134" s="11">
        <v>1000</v>
      </c>
      <c r="M134" s="10">
        <v>1000</v>
      </c>
      <c r="N134" s="11">
        <v>1000</v>
      </c>
      <c r="O134" s="10">
        <v>1000</v>
      </c>
      <c r="P134" s="11">
        <f t="shared" si="33"/>
        <v>12868</v>
      </c>
      <c r="Q134" s="5"/>
      <c r="R134" s="20" t="s">
        <v>120</v>
      </c>
      <c r="S134" s="4"/>
      <c r="T134" s="4"/>
      <c r="U134" s="4"/>
      <c r="V134" s="4"/>
    </row>
    <row r="135" spans="1:22" ht="15.75">
      <c r="A135" s="4"/>
      <c r="B135" s="20" t="s">
        <v>121</v>
      </c>
      <c r="C135" s="8">
        <v>0</v>
      </c>
      <c r="D135" s="9">
        <v>0</v>
      </c>
      <c r="E135" s="10">
        <v>0</v>
      </c>
      <c r="F135" s="11"/>
      <c r="G135" s="10"/>
      <c r="H135" s="11">
        <v>0</v>
      </c>
      <c r="I135" s="10">
        <v>0</v>
      </c>
      <c r="J135" s="11">
        <v>0</v>
      </c>
      <c r="K135" s="10">
        <v>0</v>
      </c>
      <c r="L135" s="11">
        <v>0</v>
      </c>
      <c r="M135" s="10">
        <v>0</v>
      </c>
      <c r="N135" s="11">
        <v>0</v>
      </c>
      <c r="O135" s="10">
        <v>0</v>
      </c>
      <c r="P135" s="11">
        <f t="shared" si="33"/>
        <v>0</v>
      </c>
      <c r="Q135" s="5"/>
      <c r="R135" s="20" t="s">
        <v>121</v>
      </c>
      <c r="S135" s="4"/>
      <c r="T135" s="4"/>
      <c r="U135" s="4"/>
      <c r="V135" s="4"/>
    </row>
    <row r="136" spans="1:22" ht="15.75">
      <c r="A136" s="4"/>
      <c r="B136" s="20" t="s">
        <v>144</v>
      </c>
      <c r="C136" s="8">
        <v>670.86</v>
      </c>
      <c r="D136" s="9">
        <v>0</v>
      </c>
      <c r="E136" s="10">
        <v>0</v>
      </c>
      <c r="F136" s="11"/>
      <c r="G136" s="10"/>
      <c r="H136" s="11">
        <v>0</v>
      </c>
      <c r="I136" s="10">
        <v>0</v>
      </c>
      <c r="J136" s="11">
        <v>0</v>
      </c>
      <c r="K136" s="10">
        <v>0</v>
      </c>
      <c r="L136" s="11">
        <v>0</v>
      </c>
      <c r="M136" s="10">
        <v>0</v>
      </c>
      <c r="N136" s="11">
        <v>0</v>
      </c>
      <c r="O136" s="10">
        <v>0</v>
      </c>
      <c r="P136" s="11">
        <f t="shared" si="33"/>
        <v>0</v>
      </c>
      <c r="Q136" s="5"/>
      <c r="R136" s="20" t="s">
        <v>122</v>
      </c>
      <c r="S136" s="4"/>
      <c r="T136" s="4"/>
      <c r="U136" s="4"/>
      <c r="V136" s="4"/>
    </row>
    <row r="137" spans="2:18" s="39" customFormat="1" ht="18">
      <c r="B137" s="37" t="s">
        <v>166</v>
      </c>
      <c r="C137" s="36">
        <f>SUM(C120:C136)</f>
        <v>13379.270000000002</v>
      </c>
      <c r="D137" s="36">
        <f aca="true" t="shared" si="35" ref="D137:O137">SUM(D120:D136)</f>
        <v>10730</v>
      </c>
      <c r="E137" s="36">
        <f t="shared" si="35"/>
        <v>9239.5</v>
      </c>
      <c r="F137" s="36">
        <f t="shared" si="35"/>
        <v>9254.625</v>
      </c>
      <c r="G137" s="36">
        <f t="shared" si="35"/>
        <v>10692.630000000001</v>
      </c>
      <c r="H137" s="36">
        <f t="shared" si="35"/>
        <v>8850</v>
      </c>
      <c r="I137" s="36">
        <f t="shared" si="35"/>
        <v>8968.5</v>
      </c>
      <c r="J137" s="36">
        <f t="shared" si="35"/>
        <v>8731.5</v>
      </c>
      <c r="K137" s="36">
        <f t="shared" si="35"/>
        <v>8841.0825</v>
      </c>
      <c r="L137" s="36">
        <f t="shared" si="35"/>
        <v>8850</v>
      </c>
      <c r="M137" s="36">
        <f t="shared" si="35"/>
        <v>8850</v>
      </c>
      <c r="N137" s="36">
        <f t="shared" si="35"/>
        <v>8850</v>
      </c>
      <c r="O137" s="36">
        <f t="shared" si="35"/>
        <v>8850</v>
      </c>
      <c r="P137" s="36">
        <f t="shared" si="33"/>
        <v>110707.83750000001</v>
      </c>
      <c r="Q137" s="40">
        <f>P137/P20</f>
        <v>0.0602812312400202</v>
      </c>
      <c r="R137" s="37" t="s">
        <v>31</v>
      </c>
    </row>
    <row r="138" spans="1:22" ht="15.75">
      <c r="A138" s="4"/>
      <c r="B138" s="20"/>
      <c r="C138" s="9"/>
      <c r="D138" s="9"/>
      <c r="E138" s="10"/>
      <c r="F138" s="11"/>
      <c r="G138" s="10"/>
      <c r="H138" s="11"/>
      <c r="I138" s="10"/>
      <c r="J138" s="11"/>
      <c r="K138" s="10"/>
      <c r="L138" s="11"/>
      <c r="M138" s="10"/>
      <c r="N138" s="11"/>
      <c r="O138" s="10"/>
      <c r="P138" s="11">
        <f t="shared" si="33"/>
        <v>0</v>
      </c>
      <c r="Q138" s="5"/>
      <c r="R138" s="20"/>
      <c r="S138" s="4"/>
      <c r="T138" s="4"/>
      <c r="U138" s="4"/>
      <c r="V138" s="4"/>
    </row>
    <row r="139" spans="2:18" s="39" customFormat="1" ht="21.75" customHeight="1">
      <c r="B139" s="37" t="s">
        <v>123</v>
      </c>
      <c r="C139" s="36">
        <f>C45+C54+C68+C74+C89+C96+C104+C112+C117+C137</f>
        <v>140236.65000000002</v>
      </c>
      <c r="D139" s="36">
        <f aca="true" t="shared" si="36" ref="D139:O139">D45+D54+D68+D74+D89+D96+D104+D112+D117+D137</f>
        <v>131258</v>
      </c>
      <c r="E139" s="36">
        <f t="shared" si="36"/>
        <v>122929.2</v>
      </c>
      <c r="F139" s="36">
        <f t="shared" si="36"/>
        <v>105892.67177419354</v>
      </c>
      <c r="G139" s="36">
        <f t="shared" si="36"/>
        <v>63327.9776923077</v>
      </c>
      <c r="H139" s="36">
        <f t="shared" si="36"/>
        <v>96753</v>
      </c>
      <c r="I139" s="36">
        <f t="shared" si="36"/>
        <v>98858.25</v>
      </c>
      <c r="J139" s="36">
        <f t="shared" si="36"/>
        <v>91758.1</v>
      </c>
      <c r="K139" s="36">
        <f t="shared" si="36"/>
        <v>95492.825</v>
      </c>
      <c r="L139" s="36">
        <f t="shared" si="36"/>
        <v>96153</v>
      </c>
      <c r="M139" s="36">
        <f t="shared" si="36"/>
        <v>96153</v>
      </c>
      <c r="N139" s="36">
        <f t="shared" si="36"/>
        <v>96553</v>
      </c>
      <c r="O139" s="36">
        <f t="shared" si="36"/>
        <v>96553</v>
      </c>
      <c r="P139" s="36">
        <f t="shared" si="33"/>
        <v>1191682.024466501</v>
      </c>
      <c r="Q139" s="40">
        <f>P139/P20</f>
        <v>0.648879621385799</v>
      </c>
      <c r="R139" s="37" t="s">
        <v>123</v>
      </c>
    </row>
    <row r="140" spans="2:18" s="41" customFormat="1" ht="21.75" customHeight="1">
      <c r="B140" s="3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2"/>
      <c r="R140" s="34"/>
    </row>
    <row r="141" spans="1:22" ht="18">
      <c r="A141" s="4"/>
      <c r="B141" s="23" t="s">
        <v>124</v>
      </c>
      <c r="C141" s="15">
        <f aca="true" t="shared" si="37" ref="C141:O141">C20-(C31+C139)</f>
        <v>14532.98999999999</v>
      </c>
      <c r="D141" s="16">
        <f t="shared" si="37"/>
        <v>7879.5</v>
      </c>
      <c r="E141" s="17">
        <f t="shared" si="37"/>
        <v>4268.100000000006</v>
      </c>
      <c r="F141" s="24">
        <f t="shared" si="37"/>
        <v>-8840.696774193551</v>
      </c>
      <c r="G141" s="25">
        <f t="shared" si="37"/>
        <v>5291.982307692291</v>
      </c>
      <c r="H141" s="26">
        <f t="shared" si="37"/>
        <v>20864.29999999999</v>
      </c>
      <c r="I141" s="17">
        <f t="shared" si="37"/>
        <v>24654.915000000008</v>
      </c>
      <c r="J141" s="26">
        <f t="shared" si="37"/>
        <v>19963.334999999992</v>
      </c>
      <c r="K141" s="17">
        <f t="shared" si="37"/>
        <v>21630.181750000018</v>
      </c>
      <c r="L141" s="26">
        <f t="shared" si="37"/>
        <v>21464.29999999999</v>
      </c>
      <c r="M141" s="17">
        <f t="shared" si="37"/>
        <v>21464.29999999999</v>
      </c>
      <c r="N141" s="139">
        <f t="shared" si="37"/>
        <v>21064.29999999999</v>
      </c>
      <c r="O141" s="139">
        <f t="shared" si="37"/>
        <v>21064.29999999999</v>
      </c>
      <c r="P141" s="139">
        <f t="shared" si="33"/>
        <v>180768.8172834987</v>
      </c>
      <c r="Q141" s="27">
        <f>P141/P20</f>
        <v>0.09842994969214845</v>
      </c>
      <c r="R141" s="28" t="s">
        <v>124</v>
      </c>
      <c r="S141" s="4"/>
      <c r="T141" s="4"/>
      <c r="U141" s="4"/>
      <c r="V141" s="4"/>
    </row>
    <row r="142" spans="1:22" ht="15.75">
      <c r="A142" s="4"/>
      <c r="B142" s="19"/>
      <c r="C142" s="8"/>
      <c r="D142" s="9"/>
      <c r="E142" s="10"/>
      <c r="F142" s="11"/>
      <c r="G142" s="10"/>
      <c r="H142" s="11"/>
      <c r="I142" s="10"/>
      <c r="J142" s="11"/>
      <c r="K142" s="10"/>
      <c r="L142" s="11"/>
      <c r="M142" s="10"/>
      <c r="N142" s="11"/>
      <c r="O142" s="10"/>
      <c r="P142" s="11">
        <f t="shared" si="33"/>
        <v>0</v>
      </c>
      <c r="Q142" s="5"/>
      <c r="R142" s="20"/>
      <c r="S142" s="4"/>
      <c r="T142" s="4"/>
      <c r="U142" s="4"/>
      <c r="V142" s="4"/>
    </row>
    <row r="143" spans="1:22" ht="17.25" customHeight="1">
      <c r="A143" s="4"/>
      <c r="B143" s="75" t="s">
        <v>125</v>
      </c>
      <c r="C143" s="8"/>
      <c r="D143" s="9"/>
      <c r="E143" s="10"/>
      <c r="F143" s="11"/>
      <c r="G143" s="10"/>
      <c r="H143" s="11"/>
      <c r="I143" s="10"/>
      <c r="J143" s="11"/>
      <c r="K143" s="10"/>
      <c r="L143" s="11"/>
      <c r="M143" s="10"/>
      <c r="N143" s="11"/>
      <c r="O143" s="10"/>
      <c r="P143" s="11">
        <f t="shared" si="33"/>
        <v>0</v>
      </c>
      <c r="Q143" s="5"/>
      <c r="R143" s="20" t="s">
        <v>126</v>
      </c>
      <c r="S143" s="4"/>
      <c r="T143" s="4"/>
      <c r="U143" s="4"/>
      <c r="V143" s="4"/>
    </row>
    <row r="144" spans="1:22" ht="15.75">
      <c r="A144" s="4"/>
      <c r="B144" s="20" t="s">
        <v>565</v>
      </c>
      <c r="C144" s="8">
        <v>0</v>
      </c>
      <c r="D144" s="9">
        <v>0</v>
      </c>
      <c r="E144" s="73">
        <v>683.31</v>
      </c>
      <c r="F144" s="73">
        <v>683.31</v>
      </c>
      <c r="G144" s="73">
        <v>683.31</v>
      </c>
      <c r="H144" s="73">
        <v>683.31</v>
      </c>
      <c r="I144" s="73">
        <v>683.31</v>
      </c>
      <c r="J144" s="73">
        <v>683.31</v>
      </c>
      <c r="K144" s="73">
        <v>683.31</v>
      </c>
      <c r="L144" s="73">
        <v>683.31</v>
      </c>
      <c r="M144" s="73">
        <v>683.31</v>
      </c>
      <c r="N144" s="73">
        <v>683.31</v>
      </c>
      <c r="O144" s="73">
        <v>683.31</v>
      </c>
      <c r="P144" s="11">
        <f t="shared" si="33"/>
        <v>7516.409999999998</v>
      </c>
      <c r="Q144" s="5"/>
      <c r="R144" s="20" t="s">
        <v>565</v>
      </c>
      <c r="S144" s="4"/>
      <c r="T144" s="4"/>
      <c r="U144" s="4"/>
      <c r="V144" s="4"/>
    </row>
    <row r="145" spans="1:22" ht="15.75">
      <c r="A145" s="4"/>
      <c r="B145" s="20" t="s">
        <v>566</v>
      </c>
      <c r="C145" s="8">
        <v>0</v>
      </c>
      <c r="D145" s="9">
        <v>0</v>
      </c>
      <c r="E145" s="73">
        <v>789.69</v>
      </c>
      <c r="F145" s="73">
        <v>789.69</v>
      </c>
      <c r="G145" s="73">
        <v>789.69</v>
      </c>
      <c r="H145" s="73">
        <v>789.69</v>
      </c>
      <c r="I145" s="73">
        <v>789.69</v>
      </c>
      <c r="J145" s="73">
        <v>789.69</v>
      </c>
      <c r="K145" s="73">
        <v>789.69</v>
      </c>
      <c r="L145" s="73">
        <v>789.69</v>
      </c>
      <c r="M145" s="73">
        <v>789.69</v>
      </c>
      <c r="N145" s="73">
        <v>789.69</v>
      </c>
      <c r="O145" s="73">
        <v>789.69</v>
      </c>
      <c r="P145" s="11">
        <f t="shared" si="33"/>
        <v>8686.590000000002</v>
      </c>
      <c r="Q145" s="5"/>
      <c r="R145" s="20" t="s">
        <v>566</v>
      </c>
      <c r="S145" s="4"/>
      <c r="T145" s="4"/>
      <c r="U145" s="4"/>
      <c r="V145" s="4"/>
    </row>
    <row r="146" spans="1:22" ht="15.75">
      <c r="A146" s="4"/>
      <c r="B146" s="20" t="s">
        <v>168</v>
      </c>
      <c r="C146" s="8">
        <v>0</v>
      </c>
      <c r="D146" s="9">
        <v>50</v>
      </c>
      <c r="E146" s="10">
        <v>100</v>
      </c>
      <c r="F146" s="74">
        <v>306</v>
      </c>
      <c r="G146" s="74">
        <v>306</v>
      </c>
      <c r="H146" s="74">
        <v>306</v>
      </c>
      <c r="I146" s="74">
        <v>306</v>
      </c>
      <c r="J146" s="74">
        <v>306</v>
      </c>
      <c r="K146" s="74">
        <v>306</v>
      </c>
      <c r="L146" s="74">
        <v>306</v>
      </c>
      <c r="M146" s="74">
        <v>306</v>
      </c>
      <c r="N146" s="74">
        <v>306</v>
      </c>
      <c r="O146" s="10">
        <v>1025</v>
      </c>
      <c r="P146" s="11">
        <f t="shared" si="33"/>
        <v>3929</v>
      </c>
      <c r="Q146" s="5"/>
      <c r="R146" s="20" t="s">
        <v>168</v>
      </c>
      <c r="S146" s="4"/>
      <c r="T146" s="4"/>
      <c r="U146" s="4"/>
      <c r="V146" s="4"/>
    </row>
    <row r="147" spans="1:22" ht="15.75">
      <c r="A147" s="4"/>
      <c r="B147" s="20" t="s">
        <v>564</v>
      </c>
      <c r="C147" s="8">
        <v>0</v>
      </c>
      <c r="D147" s="9">
        <v>0</v>
      </c>
      <c r="E147" s="10">
        <v>0</v>
      </c>
      <c r="F147" s="11">
        <v>0</v>
      </c>
      <c r="G147" s="10">
        <v>0</v>
      </c>
      <c r="H147" s="11">
        <v>0</v>
      </c>
      <c r="I147" s="10">
        <v>0</v>
      </c>
      <c r="J147" s="11">
        <v>0</v>
      </c>
      <c r="K147" s="73">
        <v>583.33</v>
      </c>
      <c r="L147" s="73">
        <v>579.96</v>
      </c>
      <c r="M147" s="73">
        <v>576.57</v>
      </c>
      <c r="N147" s="73">
        <v>573.16</v>
      </c>
      <c r="O147" s="10">
        <v>569.73</v>
      </c>
      <c r="P147" s="11">
        <f t="shared" si="33"/>
        <v>2882.75</v>
      </c>
      <c r="Q147" s="5"/>
      <c r="R147" s="20" t="s">
        <v>567</v>
      </c>
      <c r="S147" s="4"/>
      <c r="T147" s="4"/>
      <c r="U147" s="4"/>
      <c r="V147" s="4"/>
    </row>
    <row r="148" spans="1:22" ht="15.75">
      <c r="A148" s="4"/>
      <c r="B148" s="246" t="s">
        <v>568</v>
      </c>
      <c r="C148" s="8"/>
      <c r="D148" s="9"/>
      <c r="E148" s="10"/>
      <c r="F148" s="11"/>
      <c r="G148" s="10"/>
      <c r="H148" s="79">
        <v>335.42</v>
      </c>
      <c r="I148" s="79">
        <v>331.25</v>
      </c>
      <c r="J148" s="79">
        <v>327.05</v>
      </c>
      <c r="K148" s="79">
        <v>322.81</v>
      </c>
      <c r="L148" s="79">
        <v>318.53</v>
      </c>
      <c r="M148" s="79">
        <v>314.2</v>
      </c>
      <c r="N148" s="79">
        <v>309.84</v>
      </c>
      <c r="O148" s="79">
        <v>305.43</v>
      </c>
      <c r="P148" s="11">
        <f t="shared" si="33"/>
        <v>2564.5299999999997</v>
      </c>
      <c r="Q148" s="5"/>
      <c r="R148" s="20" t="s">
        <v>568</v>
      </c>
      <c r="S148" s="4"/>
      <c r="T148" s="4"/>
      <c r="U148" s="4"/>
      <c r="V148" s="4"/>
    </row>
    <row r="149" spans="2:18" s="76" customFormat="1" ht="18">
      <c r="B149" s="77" t="s">
        <v>173</v>
      </c>
      <c r="C149" s="78">
        <f>SUM(C144:C147)</f>
        <v>0</v>
      </c>
      <c r="D149" s="78">
        <f>SUM(D144:D148)</f>
        <v>50</v>
      </c>
      <c r="E149" s="78">
        <f>SUM(E144:E148)</f>
        <v>1573</v>
      </c>
      <c r="F149" s="78">
        <f>SUM(F144:F148)</f>
        <v>1779</v>
      </c>
      <c r="G149" s="78">
        <f>SUM(G144:G148)</f>
        <v>1779</v>
      </c>
      <c r="H149" s="78">
        <f>SUM(H144:H148)</f>
        <v>2114.42</v>
      </c>
      <c r="I149" s="78">
        <f aca="true" t="shared" si="38" ref="I149:O149">SUM(I144:I148)</f>
        <v>2110.25</v>
      </c>
      <c r="J149" s="78">
        <f t="shared" si="38"/>
        <v>2106.05</v>
      </c>
      <c r="K149" s="78">
        <f t="shared" si="38"/>
        <v>2685.14</v>
      </c>
      <c r="L149" s="78">
        <f t="shared" si="38"/>
        <v>2677.49</v>
      </c>
      <c r="M149" s="78">
        <f t="shared" si="38"/>
        <v>2669.77</v>
      </c>
      <c r="N149" s="78">
        <f t="shared" si="38"/>
        <v>2662</v>
      </c>
      <c r="O149" s="78">
        <f t="shared" si="38"/>
        <v>3373.16</v>
      </c>
      <c r="P149" s="78">
        <f t="shared" si="33"/>
        <v>25579.28</v>
      </c>
      <c r="Q149" s="57">
        <f>P149/P20</f>
        <v>0.01392810597202049</v>
      </c>
      <c r="R149" s="77" t="s">
        <v>31</v>
      </c>
    </row>
    <row r="150" spans="1:22" ht="15.75">
      <c r="A150" s="4"/>
      <c r="B150" s="19"/>
      <c r="C150" s="8"/>
      <c r="D150" s="9"/>
      <c r="E150" s="10"/>
      <c r="F150" s="11"/>
      <c r="G150" s="10"/>
      <c r="H150" s="11"/>
      <c r="I150" s="10"/>
      <c r="J150" s="11"/>
      <c r="K150" s="10"/>
      <c r="L150" s="11"/>
      <c r="M150" s="10"/>
      <c r="N150" s="11"/>
      <c r="O150" s="10"/>
      <c r="P150" s="11">
        <f t="shared" si="33"/>
        <v>0</v>
      </c>
      <c r="Q150" s="5"/>
      <c r="R150" s="20"/>
      <c r="S150" s="4"/>
      <c r="T150" s="4"/>
      <c r="U150" s="4"/>
      <c r="V150" s="4"/>
    </row>
    <row r="151" spans="1:22" ht="15.75">
      <c r="A151" s="4"/>
      <c r="B151" s="19" t="s">
        <v>127</v>
      </c>
      <c r="C151" s="8">
        <v>0</v>
      </c>
      <c r="D151" s="9">
        <v>0</v>
      </c>
      <c r="E151" s="10">
        <v>0</v>
      </c>
      <c r="F151" s="11">
        <v>0</v>
      </c>
      <c r="G151" s="10">
        <v>0</v>
      </c>
      <c r="H151" s="11">
        <v>0</v>
      </c>
      <c r="I151" s="10">
        <v>0</v>
      </c>
      <c r="J151" s="11">
        <v>0</v>
      </c>
      <c r="K151" s="10">
        <v>0</v>
      </c>
      <c r="L151" s="11">
        <v>0</v>
      </c>
      <c r="M151" s="10">
        <v>0</v>
      </c>
      <c r="N151" s="11">
        <v>0</v>
      </c>
      <c r="O151" s="10">
        <v>0</v>
      </c>
      <c r="P151" s="11">
        <f t="shared" si="33"/>
        <v>0</v>
      </c>
      <c r="Q151" s="5"/>
      <c r="R151" s="20" t="s">
        <v>127</v>
      </c>
      <c r="S151" s="4"/>
      <c r="T151" s="4"/>
      <c r="U151" s="4"/>
      <c r="V151" s="4"/>
    </row>
    <row r="152" spans="1:22" ht="15.75">
      <c r="A152" s="4"/>
      <c r="B152" s="19" t="s">
        <v>128</v>
      </c>
      <c r="C152" s="8">
        <v>0</v>
      </c>
      <c r="D152" s="9">
        <v>0</v>
      </c>
      <c r="E152" s="10">
        <v>0</v>
      </c>
      <c r="F152" s="11">
        <v>0</v>
      </c>
      <c r="G152" s="10">
        <v>3078</v>
      </c>
      <c r="H152" s="11">
        <v>6670</v>
      </c>
      <c r="I152" s="10">
        <v>6670</v>
      </c>
      <c r="J152" s="11">
        <v>6670</v>
      </c>
      <c r="K152" s="10">
        <v>6670</v>
      </c>
      <c r="L152" s="11">
        <v>6670</v>
      </c>
      <c r="M152" s="10">
        <v>6670</v>
      </c>
      <c r="N152" s="11">
        <v>6670</v>
      </c>
      <c r="O152" s="10">
        <v>6670</v>
      </c>
      <c r="P152" s="11">
        <f t="shared" si="33"/>
        <v>56438</v>
      </c>
      <c r="Q152" s="5">
        <f>P152/P20</f>
        <v>0.030730905828815058</v>
      </c>
      <c r="R152" s="20" t="s">
        <v>128</v>
      </c>
      <c r="S152" s="4"/>
      <c r="T152" s="4"/>
      <c r="U152" s="4"/>
      <c r="V152" s="4"/>
    </row>
    <row r="153" spans="1:22" ht="15.75">
      <c r="A153" s="4"/>
      <c r="B153" s="19"/>
      <c r="C153" s="8"/>
      <c r="D153" s="9"/>
      <c r="E153" s="10"/>
      <c r="F153" s="11"/>
      <c r="G153" s="10"/>
      <c r="H153" s="11"/>
      <c r="I153" s="10"/>
      <c r="J153" s="11"/>
      <c r="K153" s="10"/>
      <c r="L153" s="11"/>
      <c r="M153" s="10"/>
      <c r="N153" s="11"/>
      <c r="O153" s="10"/>
      <c r="P153" s="11">
        <f t="shared" si="33"/>
        <v>0</v>
      </c>
      <c r="Q153" s="5"/>
      <c r="R153" s="20"/>
      <c r="S153" s="4"/>
      <c r="T153" s="4"/>
      <c r="U153" s="4"/>
      <c r="V153" s="4"/>
    </row>
    <row r="154" spans="1:22" ht="15.75">
      <c r="A154" s="4"/>
      <c r="B154" s="23" t="s">
        <v>129</v>
      </c>
      <c r="C154" s="15">
        <f aca="true" t="shared" si="39" ref="C154:O154">C141-C149-C151-C152</f>
        <v>14532.98999999999</v>
      </c>
      <c r="D154" s="16">
        <f t="shared" si="39"/>
        <v>7829.5</v>
      </c>
      <c r="E154" s="17">
        <f t="shared" si="39"/>
        <v>2695.100000000006</v>
      </c>
      <c r="F154" s="24">
        <f t="shared" si="39"/>
        <v>-10619.696774193551</v>
      </c>
      <c r="G154" s="25">
        <f t="shared" si="39"/>
        <v>434.9823076922912</v>
      </c>
      <c r="H154" s="26">
        <f t="shared" si="39"/>
        <v>12079.87999999999</v>
      </c>
      <c r="I154" s="17">
        <f t="shared" si="39"/>
        <v>15874.665000000008</v>
      </c>
      <c r="J154" s="26">
        <f t="shared" si="39"/>
        <v>11187.284999999993</v>
      </c>
      <c r="K154" s="17">
        <f t="shared" si="39"/>
        <v>12275.041750000019</v>
      </c>
      <c r="L154" s="26">
        <f t="shared" si="39"/>
        <v>12116.80999999999</v>
      </c>
      <c r="M154" s="17">
        <f t="shared" si="39"/>
        <v>12124.529999999988</v>
      </c>
      <c r="N154" s="26">
        <f t="shared" si="39"/>
        <v>11732.299999999988</v>
      </c>
      <c r="O154" s="17">
        <f t="shared" si="39"/>
        <v>11021.139999999989</v>
      </c>
      <c r="P154" s="87">
        <f t="shared" si="33"/>
        <v>98751.5372834987</v>
      </c>
      <c r="Q154" s="178">
        <f>P154/P20</f>
        <v>0.0537709378913129</v>
      </c>
      <c r="R154" s="28" t="s">
        <v>129</v>
      </c>
      <c r="S154" s="4"/>
      <c r="T154" s="4"/>
      <c r="U154" s="4"/>
      <c r="V154" s="4"/>
    </row>
    <row r="155" spans="1:22" ht="15.75">
      <c r="A155" s="4"/>
      <c r="B155" s="19"/>
      <c r="C155" s="8"/>
      <c r="D155" s="9"/>
      <c r="E155" s="10"/>
      <c r="F155" s="11"/>
      <c r="G155" s="10"/>
      <c r="H155" s="11"/>
      <c r="I155" s="10"/>
      <c r="J155" s="11"/>
      <c r="K155" s="10"/>
      <c r="L155" s="11"/>
      <c r="M155" s="10"/>
      <c r="N155" s="11"/>
      <c r="O155" s="10"/>
      <c r="P155" s="11">
        <f t="shared" si="33"/>
        <v>0</v>
      </c>
      <c r="Q155" s="5"/>
      <c r="R155" s="20"/>
      <c r="S155" s="4"/>
      <c r="T155" s="4"/>
      <c r="U155" s="4"/>
      <c r="V155" s="4"/>
    </row>
    <row r="156" spans="1:22" ht="15.75">
      <c r="A156" s="4"/>
      <c r="B156" s="13" t="s">
        <v>147</v>
      </c>
      <c r="C156" s="8">
        <v>0</v>
      </c>
      <c r="D156" s="9">
        <v>1312.5</v>
      </c>
      <c r="E156" s="10">
        <f aca="true" t="shared" si="40" ref="E156:O156">0.01*E20</f>
        <v>1693</v>
      </c>
      <c r="F156" s="11">
        <f t="shared" si="40"/>
        <v>1269.75</v>
      </c>
      <c r="G156" s="10">
        <f t="shared" si="40"/>
        <v>928.4200000000001</v>
      </c>
      <c r="H156" s="11">
        <f t="shared" si="40"/>
        <v>1580</v>
      </c>
      <c r="I156" s="10">
        <f t="shared" si="40"/>
        <v>1659</v>
      </c>
      <c r="J156" s="11">
        <f t="shared" si="40"/>
        <v>1501</v>
      </c>
      <c r="K156" s="10">
        <f t="shared" si="40"/>
        <v>1574.055</v>
      </c>
      <c r="L156" s="11">
        <f t="shared" si="40"/>
        <v>1580</v>
      </c>
      <c r="M156" s="10">
        <f t="shared" si="40"/>
        <v>1580</v>
      </c>
      <c r="N156" s="11">
        <f t="shared" si="40"/>
        <v>1580</v>
      </c>
      <c r="O156" s="10">
        <f t="shared" si="40"/>
        <v>1580</v>
      </c>
      <c r="P156" s="11">
        <f t="shared" si="33"/>
        <v>17837.725</v>
      </c>
      <c r="Q156" s="5"/>
      <c r="R156" s="14" t="s">
        <v>130</v>
      </c>
      <c r="S156" s="4"/>
      <c r="T156" s="4"/>
      <c r="U156" s="4"/>
      <c r="V156" s="4"/>
    </row>
    <row r="157" spans="1:22" ht="15.75">
      <c r="A157" s="4"/>
      <c r="B157" s="13" t="s">
        <v>131</v>
      </c>
      <c r="C157" s="8">
        <f>0.01*C20</f>
        <v>2016.6038</v>
      </c>
      <c r="D157" s="9">
        <f aca="true" t="shared" si="41" ref="D157:P157">0.01*D20</f>
        <v>1840</v>
      </c>
      <c r="E157" s="10">
        <f t="shared" si="41"/>
        <v>1693</v>
      </c>
      <c r="F157" s="11">
        <f t="shared" si="41"/>
        <v>1269.75</v>
      </c>
      <c r="G157" s="10">
        <f t="shared" si="41"/>
        <v>928.4200000000001</v>
      </c>
      <c r="H157" s="11">
        <f t="shared" si="41"/>
        <v>1580</v>
      </c>
      <c r="I157" s="10">
        <f t="shared" si="41"/>
        <v>1659</v>
      </c>
      <c r="J157" s="11">
        <f t="shared" si="41"/>
        <v>1501</v>
      </c>
      <c r="K157" s="10">
        <f t="shared" si="41"/>
        <v>1574.055</v>
      </c>
      <c r="L157" s="11">
        <f t="shared" si="41"/>
        <v>1580</v>
      </c>
      <c r="M157" s="10">
        <f t="shared" si="41"/>
        <v>1580</v>
      </c>
      <c r="N157" s="11">
        <f t="shared" si="41"/>
        <v>1580</v>
      </c>
      <c r="O157" s="10">
        <f t="shared" si="41"/>
        <v>1580</v>
      </c>
      <c r="P157" s="11">
        <f t="shared" si="41"/>
        <v>18365.225000000002</v>
      </c>
      <c r="Q157" s="5"/>
      <c r="R157" s="14" t="s">
        <v>229</v>
      </c>
      <c r="S157" s="4"/>
      <c r="T157" s="4"/>
      <c r="U157" s="4"/>
      <c r="V157" s="4"/>
    </row>
    <row r="158" spans="1:22" ht="15.75">
      <c r="A158" s="4"/>
      <c r="B158" s="13" t="s">
        <v>132</v>
      </c>
      <c r="C158" s="8">
        <v>2300</v>
      </c>
      <c r="D158" s="9">
        <v>2300</v>
      </c>
      <c r="E158" s="10">
        <v>2300</v>
      </c>
      <c r="F158" s="11">
        <v>2300</v>
      </c>
      <c r="G158" s="10">
        <v>2300</v>
      </c>
      <c r="H158" s="11">
        <v>1790</v>
      </c>
      <c r="I158" s="10">
        <v>1790</v>
      </c>
      <c r="J158" s="11">
        <v>1790</v>
      </c>
      <c r="K158" s="10">
        <v>1790</v>
      </c>
      <c r="L158" s="11">
        <v>1790</v>
      </c>
      <c r="M158" s="10">
        <v>1790</v>
      </c>
      <c r="N158" s="11">
        <v>1790</v>
      </c>
      <c r="O158" s="10">
        <v>1790</v>
      </c>
      <c r="P158" s="11">
        <f>SUM(D158:O158)</f>
        <v>23520</v>
      </c>
      <c r="Q158" s="5"/>
      <c r="R158" s="14" t="s">
        <v>132</v>
      </c>
      <c r="S158" s="4"/>
      <c r="T158" s="4"/>
      <c r="U158" s="4"/>
      <c r="V158" s="4"/>
    </row>
    <row r="159" spans="1:22" ht="15.75">
      <c r="A159" s="4"/>
      <c r="B159" s="13" t="s">
        <v>133</v>
      </c>
      <c r="C159" s="8">
        <v>0</v>
      </c>
      <c r="D159" s="9">
        <v>0</v>
      </c>
      <c r="E159" s="10">
        <v>0</v>
      </c>
      <c r="F159" s="11">
        <v>0</v>
      </c>
      <c r="G159" s="10">
        <v>0</v>
      </c>
      <c r="H159" s="11">
        <v>500</v>
      </c>
      <c r="I159" s="10">
        <v>500</v>
      </c>
      <c r="J159" s="11">
        <v>500</v>
      </c>
      <c r="K159" s="10">
        <v>500</v>
      </c>
      <c r="L159" s="11">
        <v>500</v>
      </c>
      <c r="M159" s="10">
        <v>500</v>
      </c>
      <c r="N159" s="11">
        <v>500</v>
      </c>
      <c r="O159" s="10">
        <v>500</v>
      </c>
      <c r="P159" s="11">
        <f>SUM(D159:O159)</f>
        <v>4000</v>
      </c>
      <c r="Q159" s="5"/>
      <c r="R159" s="14" t="s">
        <v>133</v>
      </c>
      <c r="S159" s="4"/>
      <c r="T159" s="4"/>
      <c r="U159" s="4"/>
      <c r="V159" s="4"/>
    </row>
    <row r="160" spans="1:22" ht="15.75">
      <c r="A160" s="4"/>
      <c r="B160" s="4"/>
      <c r="C160" s="8"/>
      <c r="D160" s="9"/>
      <c r="E160" s="10"/>
      <c r="F160" s="11"/>
      <c r="G160" s="10"/>
      <c r="H160" s="11"/>
      <c r="I160" s="10"/>
      <c r="J160" s="11"/>
      <c r="K160" s="10"/>
      <c r="L160" s="11"/>
      <c r="M160" s="10"/>
      <c r="N160" s="11"/>
      <c r="O160" s="10"/>
      <c r="P160" s="11">
        <f>SUM(D160:O160)</f>
        <v>0</v>
      </c>
      <c r="Q160" s="5"/>
      <c r="R160" s="14"/>
      <c r="S160" s="4"/>
      <c r="T160" s="4"/>
      <c r="U160" s="4"/>
      <c r="V160" s="4"/>
    </row>
    <row r="161" spans="2:18" s="35" customFormat="1" ht="26.25" customHeight="1">
      <c r="B161" s="144" t="s">
        <v>182</v>
      </c>
      <c r="C161" s="36">
        <f>C154-C156-C157+C158</f>
        <v>14816.38619999999</v>
      </c>
      <c r="D161" s="36">
        <f aca="true" t="shared" si="42" ref="D161:P161">D154-D156-D157+D158</f>
        <v>6977</v>
      </c>
      <c r="E161" s="36">
        <f t="shared" si="42"/>
        <v>1609.1000000000058</v>
      </c>
      <c r="F161" s="145">
        <f t="shared" si="42"/>
        <v>-10859.196774193551</v>
      </c>
      <c r="G161" s="145">
        <f t="shared" si="42"/>
        <v>878.1423076922911</v>
      </c>
      <c r="H161" s="36">
        <f t="shared" si="42"/>
        <v>10709.87999999999</v>
      </c>
      <c r="I161" s="36">
        <f t="shared" si="42"/>
        <v>14346.665000000008</v>
      </c>
      <c r="J161" s="36">
        <f t="shared" si="42"/>
        <v>9975.284999999993</v>
      </c>
      <c r="K161" s="36">
        <f t="shared" si="42"/>
        <v>10916.931750000018</v>
      </c>
      <c r="L161" s="36">
        <f t="shared" si="42"/>
        <v>10746.80999999999</v>
      </c>
      <c r="M161" s="36">
        <f t="shared" si="42"/>
        <v>10754.529999999988</v>
      </c>
      <c r="N161" s="36">
        <f t="shared" si="42"/>
        <v>10362.299999999988</v>
      </c>
      <c r="O161" s="36">
        <f t="shared" si="42"/>
        <v>9651.139999999989</v>
      </c>
      <c r="P161" s="113">
        <f t="shared" si="42"/>
        <v>86068.5872834987</v>
      </c>
      <c r="Q161" s="179">
        <f>P161/P20</f>
        <v>0.04686497839449214</v>
      </c>
      <c r="R161" s="146" t="s">
        <v>134</v>
      </c>
    </row>
    <row r="162" spans="1:22" ht="15.75">
      <c r="A162" s="4"/>
      <c r="B162" s="4"/>
      <c r="C162" s="29"/>
      <c r="D162" s="30"/>
      <c r="E162" s="31"/>
      <c r="F162" s="4"/>
      <c r="G162" s="31"/>
      <c r="H162" s="4"/>
      <c r="I162" s="31"/>
      <c r="J162" s="4"/>
      <c r="K162" s="31"/>
      <c r="L162" s="4"/>
      <c r="M162" s="31"/>
      <c r="N162" s="4"/>
      <c r="O162" s="31"/>
      <c r="P162" s="11">
        <f>SUM(D162:O162)</f>
        <v>0</v>
      </c>
      <c r="Q162" s="5"/>
      <c r="R162" s="14"/>
      <c r="S162" s="4"/>
      <c r="T162" s="4"/>
      <c r="U162" s="4"/>
      <c r="V162" s="4"/>
    </row>
    <row r="163" spans="2:18" s="147" customFormat="1" ht="18">
      <c r="B163" s="148" t="s">
        <v>135</v>
      </c>
      <c r="C163" s="149"/>
      <c r="D163" s="149"/>
      <c r="E163" s="152">
        <f>E161/E177</f>
        <v>1.0229497774952356</v>
      </c>
      <c r="F163" s="152">
        <f aca="true" t="shared" si="43" ref="F163:P163">F161/F177</f>
        <v>-6.104101615623132</v>
      </c>
      <c r="G163" s="152">
        <f t="shared" si="43"/>
        <v>0.49361568729190053</v>
      </c>
      <c r="H163" s="152">
        <f t="shared" si="43"/>
        <v>4.202029237976408</v>
      </c>
      <c r="I163" s="152">
        <f t="shared" si="43"/>
        <v>5.628924488178476</v>
      </c>
      <c r="J163" s="152">
        <f t="shared" si="43"/>
        <v>3.913810353351065</v>
      </c>
      <c r="K163" s="152">
        <f t="shared" si="43"/>
        <v>2.9919730509710254</v>
      </c>
      <c r="L163" s="152">
        <f t="shared" si="43"/>
        <v>2.9453482572065948</v>
      </c>
      <c r="M163" s="152">
        <f t="shared" si="43"/>
        <v>2.9474640560851113</v>
      </c>
      <c r="N163" s="152">
        <f t="shared" si="43"/>
        <v>2.8399666734269884</v>
      </c>
      <c r="O163" s="152">
        <f t="shared" si="43"/>
        <v>2.0204449059400322</v>
      </c>
      <c r="P163" s="153">
        <f t="shared" si="43"/>
        <v>2.6730271476030474</v>
      </c>
      <c r="Q163" s="150" t="s">
        <v>184</v>
      </c>
      <c r="R163" s="151" t="s">
        <v>135</v>
      </c>
    </row>
    <row r="164" spans="1:22" ht="15.75">
      <c r="A164" s="4"/>
      <c r="B164" s="4"/>
      <c r="C164" s="29"/>
      <c r="D164" s="30"/>
      <c r="E164" s="31"/>
      <c r="F164" s="4"/>
      <c r="G164" s="31"/>
      <c r="H164" s="4"/>
      <c r="I164" s="31"/>
      <c r="J164" s="4"/>
      <c r="K164" s="31"/>
      <c r="L164" s="4"/>
      <c r="M164" s="31"/>
      <c r="N164" s="4"/>
      <c r="O164" s="31"/>
      <c r="P164" s="11">
        <f>SUM(D164:O164)</f>
        <v>0</v>
      </c>
      <c r="Q164" s="5"/>
      <c r="R164" s="14"/>
      <c r="S164" s="4"/>
      <c r="T164" s="4"/>
      <c r="U164" s="4"/>
      <c r="V164" s="4"/>
    </row>
    <row r="165" spans="2:18" s="88" customFormat="1" ht="17.25" customHeight="1">
      <c r="B165" s="89" t="s">
        <v>186</v>
      </c>
      <c r="C165" s="90">
        <f aca="true" t="shared" si="44" ref="C165:O165">C31+C139</f>
        <v>187127.39</v>
      </c>
      <c r="D165" s="91">
        <f t="shared" si="44"/>
        <v>176120.5</v>
      </c>
      <c r="E165" s="92">
        <f t="shared" si="44"/>
        <v>165031.9</v>
      </c>
      <c r="F165" s="93">
        <f t="shared" si="44"/>
        <v>135815.69677419355</v>
      </c>
      <c r="G165" s="92">
        <f t="shared" si="44"/>
        <v>87550.01769230771</v>
      </c>
      <c r="H165" s="93">
        <f t="shared" si="44"/>
        <v>137135.7</v>
      </c>
      <c r="I165" s="92">
        <f t="shared" si="44"/>
        <v>141245.085</v>
      </c>
      <c r="J165" s="93">
        <f t="shared" si="44"/>
        <v>130136.66500000001</v>
      </c>
      <c r="K165" s="92">
        <f t="shared" si="44"/>
        <v>135775.31824999998</v>
      </c>
      <c r="L165" s="93">
        <f t="shared" si="44"/>
        <v>136535.7</v>
      </c>
      <c r="M165" s="92">
        <f t="shared" si="44"/>
        <v>136535.7</v>
      </c>
      <c r="N165" s="93">
        <f t="shared" si="44"/>
        <v>136935.7</v>
      </c>
      <c r="O165" s="92">
        <f t="shared" si="44"/>
        <v>136935.7</v>
      </c>
      <c r="P165" s="105">
        <f>SUM(D165:O165)</f>
        <v>1655753.6827165012</v>
      </c>
      <c r="Q165" s="94"/>
      <c r="R165" s="95" t="s">
        <v>136</v>
      </c>
    </row>
    <row r="166" spans="2:18" s="88" customFormat="1" ht="18">
      <c r="B166" s="96"/>
      <c r="C166" s="97"/>
      <c r="D166" s="98"/>
      <c r="E166" s="99"/>
      <c r="F166" s="96"/>
      <c r="G166" s="99"/>
      <c r="H166" s="96"/>
      <c r="I166" s="99"/>
      <c r="J166" s="96"/>
      <c r="K166" s="99"/>
      <c r="L166" s="96"/>
      <c r="M166" s="99"/>
      <c r="N166" s="96"/>
      <c r="O166" s="99"/>
      <c r="P166" s="100">
        <f>SUM(D166:O166)</f>
        <v>0</v>
      </c>
      <c r="Q166" s="101"/>
      <c r="R166" s="95"/>
    </row>
    <row r="167" spans="2:18" s="88" customFormat="1" ht="18">
      <c r="B167" s="89" t="s">
        <v>185</v>
      </c>
      <c r="C167" s="102">
        <f>(C31+C45+C54)/C20</f>
        <v>0.6662106359216421</v>
      </c>
      <c r="D167" s="103">
        <f aca="true" t="shared" si="45" ref="D167:P167">(D31+D45+D54)/D20</f>
        <v>0.7024701086956522</v>
      </c>
      <c r="E167" s="104">
        <f t="shared" si="45"/>
        <v>0.6995906674542233</v>
      </c>
      <c r="F167" s="94">
        <f t="shared" si="45"/>
        <v>0.7563644164142039</v>
      </c>
      <c r="G167" s="104">
        <f t="shared" si="45"/>
        <v>0.6411184427472314</v>
      </c>
      <c r="H167" s="94">
        <f t="shared" si="45"/>
        <v>0.6418398734177215</v>
      </c>
      <c r="I167" s="104">
        <f t="shared" si="45"/>
        <v>0.6377732670283303</v>
      </c>
      <c r="J167" s="94">
        <f t="shared" si="45"/>
        <v>0.6429391405729514</v>
      </c>
      <c r="K167" s="104">
        <f t="shared" si="45"/>
        <v>0.6427282448834379</v>
      </c>
      <c r="L167" s="94">
        <f t="shared" si="45"/>
        <v>0.6418398734177215</v>
      </c>
      <c r="M167" s="104">
        <f t="shared" si="45"/>
        <v>0.6418398734177215</v>
      </c>
      <c r="N167" s="94">
        <f t="shared" si="45"/>
        <v>0.6418398734177215</v>
      </c>
      <c r="O167" s="104">
        <f t="shared" si="45"/>
        <v>0.6418398734177215</v>
      </c>
      <c r="P167" s="94">
        <f t="shared" si="45"/>
        <v>0.6609183938589002</v>
      </c>
      <c r="Q167" s="94"/>
      <c r="R167" s="95" t="s">
        <v>137</v>
      </c>
    </row>
    <row r="169" spans="20:26" ht="12.75">
      <c r="T169" t="s">
        <v>188</v>
      </c>
      <c r="U169" s="2" t="s">
        <v>176</v>
      </c>
      <c r="V169" s="2" t="s">
        <v>177</v>
      </c>
      <c r="W169" s="2" t="s">
        <v>178</v>
      </c>
      <c r="X169" s="2" t="s">
        <v>179</v>
      </c>
      <c r="Y169" s="2" t="s">
        <v>180</v>
      </c>
      <c r="Z169" s="2" t="s">
        <v>181</v>
      </c>
    </row>
    <row r="170" ht="12.75">
      <c r="U170" t="s">
        <v>187</v>
      </c>
    </row>
    <row r="171" ht="15.75">
      <c r="B171" s="38" t="s">
        <v>175</v>
      </c>
    </row>
    <row r="172" spans="2:26" ht="15.75">
      <c r="B172" s="20" t="s">
        <v>562</v>
      </c>
      <c r="C172" s="8">
        <v>0</v>
      </c>
      <c r="D172" s="9">
        <v>0</v>
      </c>
      <c r="E172" s="73">
        <v>683.31</v>
      </c>
      <c r="F172" s="73">
        <v>683.31</v>
      </c>
      <c r="G172" s="73">
        <v>683.31</v>
      </c>
      <c r="H172" s="73">
        <v>683.31</v>
      </c>
      <c r="I172" s="73">
        <v>683.31</v>
      </c>
      <c r="J172" s="73">
        <v>683.31</v>
      </c>
      <c r="K172" s="73">
        <v>683.31</v>
      </c>
      <c r="L172" s="73">
        <v>683.31</v>
      </c>
      <c r="M172" s="73">
        <v>683.31</v>
      </c>
      <c r="N172" s="73">
        <v>683.31</v>
      </c>
      <c r="O172" s="73">
        <v>683.31</v>
      </c>
      <c r="P172" s="11">
        <f aca="true" t="shared" si="46" ref="P172:P177">SUM(D172:O172)</f>
        <v>7516.409999999998</v>
      </c>
      <c r="T172" s="82">
        <v>7516</v>
      </c>
      <c r="U172" s="82">
        <v>32191</v>
      </c>
      <c r="V172" s="82">
        <v>32191</v>
      </c>
      <c r="W172" s="82">
        <v>32191</v>
      </c>
      <c r="X172" s="82">
        <v>32191</v>
      </c>
      <c r="Y172" s="82">
        <v>32191</v>
      </c>
      <c r="Z172" s="82">
        <v>32191</v>
      </c>
    </row>
    <row r="173" spans="2:26" ht="15.75">
      <c r="B173" s="20" t="s">
        <v>563</v>
      </c>
      <c r="C173" s="8">
        <v>0</v>
      </c>
      <c r="D173" s="9">
        <v>0</v>
      </c>
      <c r="E173" s="73">
        <v>789.69</v>
      </c>
      <c r="F173" s="73">
        <v>789.69</v>
      </c>
      <c r="G173" s="73">
        <v>789.69</v>
      </c>
      <c r="H173" s="73">
        <v>789.69</v>
      </c>
      <c r="I173" s="73">
        <v>789.69</v>
      </c>
      <c r="J173" s="73">
        <v>789.69</v>
      </c>
      <c r="K173" s="73">
        <v>789.69</v>
      </c>
      <c r="L173" s="73">
        <v>789.69</v>
      </c>
      <c r="M173" s="73">
        <v>789.69</v>
      </c>
      <c r="N173" s="73">
        <v>789.69</v>
      </c>
      <c r="O173" s="73">
        <v>789.69</v>
      </c>
      <c r="P173" s="11">
        <f t="shared" si="46"/>
        <v>8686.590000000002</v>
      </c>
      <c r="T173" s="82">
        <v>8687</v>
      </c>
      <c r="U173" s="82">
        <v>15170</v>
      </c>
      <c r="V173" s="82">
        <v>15170</v>
      </c>
      <c r="W173" s="82">
        <v>15170</v>
      </c>
      <c r="X173" s="82">
        <v>15170</v>
      </c>
      <c r="Y173" s="82">
        <v>15170</v>
      </c>
      <c r="Z173" s="82">
        <v>15170</v>
      </c>
    </row>
    <row r="174" spans="2:26" ht="15.75">
      <c r="B174" s="20" t="s">
        <v>569</v>
      </c>
      <c r="C174" s="8">
        <v>0</v>
      </c>
      <c r="D174" s="9">
        <v>50</v>
      </c>
      <c r="E174" s="10">
        <v>100</v>
      </c>
      <c r="F174" s="74">
        <v>306</v>
      </c>
      <c r="G174" s="74">
        <v>306</v>
      </c>
      <c r="H174" s="74">
        <v>306</v>
      </c>
      <c r="I174" s="74">
        <v>306</v>
      </c>
      <c r="J174" s="74">
        <v>306</v>
      </c>
      <c r="K174" s="74">
        <v>306</v>
      </c>
      <c r="L174" s="74">
        <v>306</v>
      </c>
      <c r="M174" s="74">
        <v>306</v>
      </c>
      <c r="N174" s="74">
        <v>306</v>
      </c>
      <c r="O174" s="10">
        <v>1025</v>
      </c>
      <c r="P174" s="11">
        <f t="shared" si="46"/>
        <v>3929</v>
      </c>
      <c r="T174" s="82">
        <v>3929</v>
      </c>
      <c r="U174" s="82">
        <v>3672</v>
      </c>
      <c r="V174" s="82">
        <v>3672</v>
      </c>
      <c r="W174" s="82">
        <v>3672</v>
      </c>
      <c r="X174" s="82">
        <v>3672</v>
      </c>
      <c r="Y174" s="82">
        <v>3672</v>
      </c>
      <c r="Z174" s="82">
        <v>3672</v>
      </c>
    </row>
    <row r="175" spans="2:27" ht="15.75">
      <c r="B175" s="20" t="s">
        <v>564</v>
      </c>
      <c r="C175" s="8">
        <v>0</v>
      </c>
      <c r="D175" s="9">
        <v>0</v>
      </c>
      <c r="E175" s="10">
        <v>0</v>
      </c>
      <c r="F175" s="11">
        <v>0</v>
      </c>
      <c r="G175" s="10">
        <v>0</v>
      </c>
      <c r="H175" s="11">
        <v>0</v>
      </c>
      <c r="I175" s="10">
        <v>0</v>
      </c>
      <c r="J175" s="11">
        <v>0</v>
      </c>
      <c r="K175" s="73">
        <v>1100</v>
      </c>
      <c r="L175" s="73">
        <v>1100</v>
      </c>
      <c r="M175" s="73">
        <v>1100</v>
      </c>
      <c r="N175" s="73">
        <v>1100</v>
      </c>
      <c r="O175" s="10">
        <v>1509</v>
      </c>
      <c r="P175" s="11">
        <f t="shared" si="46"/>
        <v>5909</v>
      </c>
      <c r="T175" s="82">
        <v>5909</v>
      </c>
      <c r="U175" s="85">
        <v>13200</v>
      </c>
      <c r="V175" s="85">
        <v>13200</v>
      </c>
      <c r="W175" s="85">
        <v>13200</v>
      </c>
      <c r="X175" s="85">
        <v>13200</v>
      </c>
      <c r="Y175" s="85">
        <v>13200</v>
      </c>
      <c r="Z175" s="85">
        <v>13200</v>
      </c>
      <c r="AA175" s="84"/>
    </row>
    <row r="176" spans="2:26" ht="15.75">
      <c r="B176" s="246" t="s">
        <v>568</v>
      </c>
      <c r="C176" s="8"/>
      <c r="D176" s="9"/>
      <c r="E176" s="10"/>
      <c r="F176" s="11"/>
      <c r="G176" s="10"/>
      <c r="H176" s="79">
        <v>769.74</v>
      </c>
      <c r="I176" s="79">
        <v>769.74</v>
      </c>
      <c r="J176" s="79">
        <v>769.74</v>
      </c>
      <c r="K176" s="79">
        <v>769.74</v>
      </c>
      <c r="L176" s="79">
        <v>769.74</v>
      </c>
      <c r="M176" s="79">
        <v>769.74</v>
      </c>
      <c r="N176" s="79">
        <v>769.74</v>
      </c>
      <c r="O176" s="79">
        <v>769.74</v>
      </c>
      <c r="P176" s="11">
        <f t="shared" si="46"/>
        <v>6157.919999999999</v>
      </c>
      <c r="T176" s="82">
        <v>6158</v>
      </c>
      <c r="U176" s="82">
        <v>9237</v>
      </c>
      <c r="V176" s="82">
        <v>9237</v>
      </c>
      <c r="W176" s="82">
        <v>9237</v>
      </c>
      <c r="X176" s="82">
        <v>9237</v>
      </c>
      <c r="Y176" s="82">
        <v>3079</v>
      </c>
      <c r="Z176" s="82">
        <v>0</v>
      </c>
    </row>
    <row r="177" spans="2:26" s="84" customFormat="1" ht="15.75">
      <c r="B177" s="83" t="s">
        <v>174</v>
      </c>
      <c r="D177" s="106">
        <f>SUM(D172:D176)</f>
        <v>50</v>
      </c>
      <c r="E177" s="85">
        <f>SUM(E172:E176)</f>
        <v>1573</v>
      </c>
      <c r="F177" s="85">
        <f aca="true" t="shared" si="47" ref="F177:O177">SUM(F172:F176)</f>
        <v>1779</v>
      </c>
      <c r="G177" s="85">
        <f t="shared" si="47"/>
        <v>1779</v>
      </c>
      <c r="H177" s="85">
        <f t="shared" si="47"/>
        <v>2548.74</v>
      </c>
      <c r="I177" s="85">
        <f t="shared" si="47"/>
        <v>2548.74</v>
      </c>
      <c r="J177" s="85">
        <f t="shared" si="47"/>
        <v>2548.74</v>
      </c>
      <c r="K177" s="85">
        <f t="shared" si="47"/>
        <v>3648.74</v>
      </c>
      <c r="L177" s="85">
        <f t="shared" si="47"/>
        <v>3648.74</v>
      </c>
      <c r="M177" s="85">
        <f t="shared" si="47"/>
        <v>3648.74</v>
      </c>
      <c r="N177" s="85">
        <f t="shared" si="47"/>
        <v>3648.74</v>
      </c>
      <c r="O177" s="85">
        <f t="shared" si="47"/>
        <v>4776.74</v>
      </c>
      <c r="P177" s="87">
        <f t="shared" si="46"/>
        <v>32198.91999999999</v>
      </c>
      <c r="Q177" s="86"/>
      <c r="T177" s="85">
        <f aca="true" t="shared" si="48" ref="T177:Z177">SUM(T172:T176)</f>
        <v>32199</v>
      </c>
      <c r="U177" s="85">
        <f t="shared" si="48"/>
        <v>73470</v>
      </c>
      <c r="V177" s="85">
        <f t="shared" si="48"/>
        <v>73470</v>
      </c>
      <c r="W177" s="85">
        <f t="shared" si="48"/>
        <v>73470</v>
      </c>
      <c r="X177" s="85">
        <f t="shared" si="48"/>
        <v>73470</v>
      </c>
      <c r="Y177" s="85">
        <f t="shared" si="48"/>
        <v>67312</v>
      </c>
      <c r="Z177" s="85">
        <f t="shared" si="48"/>
        <v>64233</v>
      </c>
    </row>
  </sheetData>
  <sheetProtection/>
  <printOptions/>
  <pageMargins left="0.75" right="0.75" top="1" bottom="1" header="0.5" footer="0.5"/>
  <pageSetup horizontalDpi="600" verticalDpi="600" orientation="portrait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4" sqref="A3:C4"/>
    </sheetView>
  </sheetViews>
  <sheetFormatPr defaultColWidth="11.421875" defaultRowHeight="12.75"/>
  <cols>
    <col min="1" max="4" width="8.8515625" style="0" customWidth="1"/>
    <col min="5" max="5" width="13.421875" style="0" customWidth="1"/>
    <col min="6" max="16384" width="8.8515625" style="0" customWidth="1"/>
  </cols>
  <sheetData>
    <row r="1" spans="1:5" ht="18">
      <c r="A1" s="665"/>
      <c r="C1" s="251"/>
      <c r="E1" s="251"/>
    </row>
    <row r="2" spans="1:5" ht="15.75">
      <c r="A2" s="442"/>
      <c r="C2" s="442"/>
      <c r="E2" s="442"/>
    </row>
    <row r="3" spans="1:5" ht="15.75">
      <c r="A3" s="442"/>
      <c r="C3" s="442"/>
      <c r="E3" s="442"/>
    </row>
    <row r="4" spans="1:9" ht="15.75">
      <c r="A4" s="442"/>
      <c r="C4" s="442"/>
      <c r="E4" s="442"/>
      <c r="H4" s="249"/>
      <c r="I4" s="119"/>
    </row>
    <row r="5" spans="8:9" ht="12.75">
      <c r="H5" s="249"/>
      <c r="I5" s="119"/>
    </row>
    <row r="6" spans="1:5" ht="15.75">
      <c r="A6" s="56" t="s">
        <v>239</v>
      </c>
      <c r="B6" s="200"/>
      <c r="C6" s="200"/>
      <c r="D6" s="200"/>
      <c r="E6" s="201"/>
    </row>
    <row r="8" spans="1:3" ht="15.75">
      <c r="A8" s="56" t="s">
        <v>240</v>
      </c>
      <c r="B8" s="125"/>
      <c r="C8" s="125"/>
    </row>
    <row r="9" spans="14:15" ht="12.75">
      <c r="N9" s="2" t="s">
        <v>241</v>
      </c>
      <c r="O9" t="s">
        <v>372</v>
      </c>
    </row>
    <row r="10" spans="1:15" ht="12.75">
      <c r="A10" s="2"/>
      <c r="B10" s="2"/>
      <c r="C10" s="2"/>
      <c r="D10" s="2"/>
      <c r="E10" s="2"/>
      <c r="F10" s="2" t="s">
        <v>242</v>
      </c>
      <c r="G10" s="2" t="s">
        <v>243</v>
      </c>
      <c r="H10" s="2" t="s">
        <v>244</v>
      </c>
      <c r="I10" s="2" t="s">
        <v>245</v>
      </c>
      <c r="J10" s="2" t="s">
        <v>246</v>
      </c>
      <c r="K10" s="2" t="s">
        <v>247</v>
      </c>
      <c r="L10" s="2" t="s">
        <v>248</v>
      </c>
      <c r="M10" s="2" t="s">
        <v>249</v>
      </c>
      <c r="N10" s="2" t="s">
        <v>250</v>
      </c>
      <c r="O10" s="2" t="s">
        <v>250</v>
      </c>
    </row>
    <row r="11" spans="1:4" ht="12.75">
      <c r="A11" s="125" t="s">
        <v>251</v>
      </c>
      <c r="B11" s="125"/>
      <c r="C11" s="125"/>
      <c r="D11" s="125"/>
    </row>
    <row r="12" ht="12.75">
      <c r="A12" t="s">
        <v>252</v>
      </c>
    </row>
    <row r="13" spans="1:15" ht="12.75">
      <c r="A13" s="2" t="s">
        <v>253</v>
      </c>
      <c r="F13" s="202">
        <v>4000</v>
      </c>
      <c r="G13" s="82">
        <v>800</v>
      </c>
      <c r="H13" s="82">
        <v>800</v>
      </c>
      <c r="I13" s="82">
        <v>800</v>
      </c>
      <c r="J13" s="82">
        <v>800</v>
      </c>
      <c r="K13" s="82">
        <v>800</v>
      </c>
      <c r="L13" s="82">
        <v>0</v>
      </c>
      <c r="M13" s="82">
        <v>0</v>
      </c>
      <c r="N13" s="203">
        <f>SUM(G13:M13)</f>
        <v>4000</v>
      </c>
      <c r="O13" t="s">
        <v>373</v>
      </c>
    </row>
    <row r="14" spans="1:15" ht="12.75">
      <c r="A14" s="2" t="s">
        <v>254</v>
      </c>
      <c r="F14" s="202">
        <v>32613</v>
      </c>
      <c r="G14" s="82">
        <v>3261</v>
      </c>
      <c r="H14" s="82">
        <v>3261</v>
      </c>
      <c r="I14" s="82">
        <v>3261</v>
      </c>
      <c r="J14" s="82">
        <v>3261</v>
      </c>
      <c r="K14" s="82">
        <v>3261</v>
      </c>
      <c r="L14" s="82">
        <v>3261</v>
      </c>
      <c r="M14" s="82">
        <v>3261</v>
      </c>
      <c r="N14" s="203">
        <f>SUM(G14:M14)</f>
        <v>22827</v>
      </c>
      <c r="O14" t="s">
        <v>374</v>
      </c>
    </row>
    <row r="15" spans="1:15" ht="13.5" thickBot="1">
      <c r="A15" s="125" t="s">
        <v>255</v>
      </c>
      <c r="B15" s="125"/>
      <c r="C15" s="125"/>
      <c r="D15" s="125"/>
      <c r="F15" s="312">
        <v>83744</v>
      </c>
      <c r="G15" s="204">
        <v>2887</v>
      </c>
      <c r="H15" s="204">
        <v>2887</v>
      </c>
      <c r="I15" s="204">
        <v>2887</v>
      </c>
      <c r="J15" s="204">
        <v>2887</v>
      </c>
      <c r="K15" s="204">
        <v>2887</v>
      </c>
      <c r="L15" s="204">
        <v>2887</v>
      </c>
      <c r="M15" s="204">
        <v>2887</v>
      </c>
      <c r="N15" s="205">
        <f>SUM(G15:M15)</f>
        <v>20209</v>
      </c>
      <c r="O15" t="s">
        <v>375</v>
      </c>
    </row>
    <row r="16" spans="1:14" ht="12.75">
      <c r="A16" t="s">
        <v>371</v>
      </c>
      <c r="F16" s="206">
        <f>SUM(F13:F15)</f>
        <v>120357</v>
      </c>
      <c r="G16" s="202">
        <f>SUM(G13:G15)</f>
        <v>6948</v>
      </c>
      <c r="H16" s="202">
        <f aca="true" t="shared" si="0" ref="H16:N16">SUM(H13:H15)</f>
        <v>6948</v>
      </c>
      <c r="I16" s="202">
        <f t="shared" si="0"/>
        <v>6948</v>
      </c>
      <c r="J16" s="202">
        <f t="shared" si="0"/>
        <v>6948</v>
      </c>
      <c r="K16" s="202">
        <f t="shared" si="0"/>
        <v>6948</v>
      </c>
      <c r="L16" s="202">
        <f t="shared" si="0"/>
        <v>6148</v>
      </c>
      <c r="M16" s="202">
        <f t="shared" si="0"/>
        <v>6148</v>
      </c>
      <c r="N16" s="207">
        <f t="shared" si="0"/>
        <v>47036</v>
      </c>
    </row>
    <row r="17" ht="12.75">
      <c r="A17" t="s">
        <v>256</v>
      </c>
    </row>
    <row r="21" ht="12.75">
      <c r="E21" t="s">
        <v>450</v>
      </c>
    </row>
  </sheetData>
  <sheetProtection/>
  <printOptions/>
  <pageMargins left="0.46" right="0.18" top="0.74" bottom="1" header="0.5" footer="0.5"/>
  <pageSetup horizontalDpi="600" verticalDpi="6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6384" width="8.8515625" style="0" customWidth="1"/>
  </cols>
  <sheetData>
    <row r="3" spans="1:9" ht="15.75">
      <c r="A3" s="251"/>
      <c r="B3" s="4"/>
      <c r="H3" s="249"/>
      <c r="I3" s="119"/>
    </row>
    <row r="4" spans="1:9" ht="15.75">
      <c r="A4" s="251"/>
      <c r="B4" s="4"/>
      <c r="H4" s="249"/>
      <c r="I4" s="119"/>
    </row>
    <row r="5" spans="1:5" ht="15.75">
      <c r="A5" s="56"/>
      <c r="B5" s="200"/>
      <c r="C5" s="200"/>
      <c r="D5" s="200"/>
      <c r="E5" s="201"/>
    </row>
    <row r="6" ht="12.75">
      <c r="A6" s="118"/>
    </row>
    <row r="9" spans="1:3" ht="15.75">
      <c r="A9" s="56" t="s">
        <v>240</v>
      </c>
      <c r="B9" s="125"/>
      <c r="C9" s="125"/>
    </row>
    <row r="10" spans="14:15" ht="12.75">
      <c r="N10" s="2" t="s">
        <v>241</v>
      </c>
      <c r="O10" t="s">
        <v>372</v>
      </c>
    </row>
    <row r="11" spans="1:15" ht="12.75">
      <c r="A11" s="2"/>
      <c r="B11" s="2"/>
      <c r="C11" s="2"/>
      <c r="D11" s="2"/>
      <c r="E11" s="2"/>
      <c r="F11" s="2" t="s">
        <v>242</v>
      </c>
      <c r="G11" s="2" t="s">
        <v>243</v>
      </c>
      <c r="H11" s="2" t="s">
        <v>244</v>
      </c>
      <c r="I11" s="2" t="s">
        <v>245</v>
      </c>
      <c r="J11" s="2" t="s">
        <v>246</v>
      </c>
      <c r="K11" s="2" t="s">
        <v>247</v>
      </c>
      <c r="L11" s="2" t="s">
        <v>248</v>
      </c>
      <c r="M11" s="2" t="s">
        <v>249</v>
      </c>
      <c r="N11" s="2" t="s">
        <v>250</v>
      </c>
      <c r="O11" s="2" t="s">
        <v>250</v>
      </c>
    </row>
    <row r="12" spans="1:4" ht="12.75">
      <c r="A12" s="125" t="s">
        <v>251</v>
      </c>
      <c r="B12" s="125"/>
      <c r="C12" s="125"/>
      <c r="D12" s="125"/>
    </row>
    <row r="13" ht="12.75">
      <c r="A13" t="s">
        <v>252</v>
      </c>
    </row>
    <row r="14" spans="1:15" ht="12.75">
      <c r="A14" s="2" t="s">
        <v>253</v>
      </c>
      <c r="F14" s="202">
        <v>4000</v>
      </c>
      <c r="G14" s="82">
        <v>800</v>
      </c>
      <c r="H14" s="82">
        <v>800</v>
      </c>
      <c r="I14" s="82">
        <v>800</v>
      </c>
      <c r="J14" s="82">
        <v>800</v>
      </c>
      <c r="K14" s="82">
        <v>800</v>
      </c>
      <c r="L14" s="82">
        <v>0</v>
      </c>
      <c r="M14" s="82">
        <v>0</v>
      </c>
      <c r="N14" s="203">
        <f>SUM(G14:M14)</f>
        <v>4000</v>
      </c>
      <c r="O14" t="s">
        <v>373</v>
      </c>
    </row>
    <row r="15" spans="1:15" ht="12.75">
      <c r="A15" s="2" t="s">
        <v>254</v>
      </c>
      <c r="F15" s="202">
        <v>75000</v>
      </c>
      <c r="G15" s="82">
        <v>7500</v>
      </c>
      <c r="H15" s="82">
        <v>7500</v>
      </c>
      <c r="I15" s="82">
        <v>7500</v>
      </c>
      <c r="J15" s="82">
        <v>7500</v>
      </c>
      <c r="K15" s="82">
        <v>7500</v>
      </c>
      <c r="L15" s="82">
        <v>7500</v>
      </c>
      <c r="M15" s="82">
        <v>7500</v>
      </c>
      <c r="N15" s="203">
        <f>SUM(G15:M15)</f>
        <v>52500</v>
      </c>
      <c r="O15" t="s">
        <v>374</v>
      </c>
    </row>
    <row r="16" spans="1:15" ht="13.5" thickBot="1">
      <c r="A16" s="125" t="s">
        <v>255</v>
      </c>
      <c r="B16" s="125"/>
      <c r="C16" s="125"/>
      <c r="D16" s="125"/>
      <c r="F16" s="312">
        <v>156000</v>
      </c>
      <c r="G16" s="204">
        <v>5379</v>
      </c>
      <c r="H16" s="204">
        <v>5379</v>
      </c>
      <c r="I16" s="204">
        <v>5379</v>
      </c>
      <c r="J16" s="204">
        <v>5379</v>
      </c>
      <c r="K16" s="204">
        <v>5379</v>
      </c>
      <c r="L16" s="204">
        <v>5379</v>
      </c>
      <c r="M16" s="204">
        <v>5379</v>
      </c>
      <c r="N16" s="205">
        <f>SUM(G16:M16)</f>
        <v>37653</v>
      </c>
      <c r="O16" t="s">
        <v>375</v>
      </c>
    </row>
    <row r="17" spans="1:14" ht="12.75">
      <c r="A17" t="s">
        <v>371</v>
      </c>
      <c r="F17" s="206">
        <f>SUM(F14:F16)</f>
        <v>235000</v>
      </c>
      <c r="G17" s="202">
        <f>SUM(G14:G16)</f>
        <v>13679</v>
      </c>
      <c r="H17" s="202">
        <f aca="true" t="shared" si="0" ref="H17:N17">SUM(H14:H16)</f>
        <v>13679</v>
      </c>
      <c r="I17" s="202">
        <f t="shared" si="0"/>
        <v>13679</v>
      </c>
      <c r="J17" s="202">
        <f t="shared" si="0"/>
        <v>13679</v>
      </c>
      <c r="K17" s="202">
        <f t="shared" si="0"/>
        <v>13679</v>
      </c>
      <c r="L17" s="202">
        <f t="shared" si="0"/>
        <v>12879</v>
      </c>
      <c r="M17" s="202">
        <f t="shared" si="0"/>
        <v>12879</v>
      </c>
      <c r="N17" s="207">
        <f t="shared" si="0"/>
        <v>94153</v>
      </c>
    </row>
    <row r="18" ht="12.75">
      <c r="A18" t="s">
        <v>256</v>
      </c>
    </row>
    <row r="22" ht="12.75">
      <c r="E22" t="s">
        <v>450</v>
      </c>
    </row>
    <row r="26" spans="3:4" ht="15.75">
      <c r="C26" s="251"/>
      <c r="D26" s="4"/>
    </row>
    <row r="27" ht="15.75">
      <c r="D27" s="4"/>
    </row>
  </sheetData>
  <sheetProtection/>
  <printOptions/>
  <pageMargins left="0.75" right="0.75" top="1" bottom="1" header="0.5" footer="0.5"/>
  <pageSetup fitToHeight="1" fitToWidth="1" horizontalDpi="600" verticalDpi="600" orientation="landscape" paperSize="17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90"/>
  <sheetViews>
    <sheetView zoomScalePageLayoutView="0" workbookViewId="0" topLeftCell="A1">
      <selection activeCell="A1" sqref="A1:B4"/>
    </sheetView>
  </sheetViews>
  <sheetFormatPr defaultColWidth="11.421875" defaultRowHeight="12.75"/>
  <cols>
    <col min="1" max="1" width="8.8515625" style="0" customWidth="1"/>
    <col min="2" max="2" width="61.7109375" style="0" customWidth="1"/>
    <col min="3" max="3" width="16.28125" style="0" customWidth="1"/>
    <col min="4" max="4" width="1.28515625" style="0" customWidth="1"/>
    <col min="5" max="5" width="11.28125" style="0" customWidth="1"/>
    <col min="6" max="6" width="8.8515625" style="0" customWidth="1"/>
    <col min="7" max="7" width="1.1484375" style="0" customWidth="1"/>
    <col min="8" max="8" width="12.8515625" style="0" customWidth="1"/>
    <col min="9" max="9" width="8.8515625" style="0" customWidth="1"/>
    <col min="10" max="10" width="1.7109375" style="0" customWidth="1"/>
    <col min="11" max="11" width="12.7109375" style="0" customWidth="1"/>
    <col min="12" max="12" width="8.8515625" style="0" customWidth="1"/>
    <col min="13" max="13" width="1.8515625" style="0" customWidth="1"/>
    <col min="14" max="14" width="11.421875" style="0" customWidth="1"/>
    <col min="15" max="15" width="8.8515625" style="0" customWidth="1"/>
    <col min="16" max="16" width="1.7109375" style="0" customWidth="1"/>
    <col min="17" max="17" width="11.7109375" style="0" customWidth="1"/>
    <col min="18" max="19" width="8.8515625" style="0" customWidth="1"/>
    <col min="20" max="42" width="9.140625" style="198" customWidth="1"/>
    <col min="43" max="16384" width="8.8515625" style="0" customWidth="1"/>
  </cols>
  <sheetData>
    <row r="1" ht="15.75">
      <c r="A1" s="251"/>
    </row>
    <row r="2" ht="15.75">
      <c r="A2" s="442"/>
    </row>
    <row r="3" ht="15.75">
      <c r="A3" s="442"/>
    </row>
    <row r="4" spans="1:19" ht="15.75">
      <c r="A4" s="442"/>
      <c r="O4" s="249"/>
      <c r="P4" s="119"/>
      <c r="Q4" s="119"/>
      <c r="R4" s="119"/>
      <c r="S4" s="119"/>
    </row>
    <row r="5" spans="15:19" ht="12.75">
      <c r="O5" s="249"/>
      <c r="P5" s="119"/>
      <c r="Q5" s="119"/>
      <c r="R5" s="119"/>
      <c r="S5" s="119"/>
    </row>
    <row r="7" spans="1:18" ht="19.5">
      <c r="A7" s="109" t="s">
        <v>478</v>
      </c>
      <c r="B7" s="110"/>
      <c r="C7" s="110"/>
      <c r="D7" s="110"/>
      <c r="E7" s="4"/>
      <c r="F7" s="397"/>
      <c r="G7" s="4"/>
      <c r="I7" s="404"/>
      <c r="J7" s="128"/>
      <c r="K7" s="128"/>
      <c r="L7" s="404"/>
      <c r="M7" s="128"/>
      <c r="N7" s="119"/>
      <c r="O7" s="398"/>
      <c r="P7" s="119"/>
      <c r="Q7" s="119"/>
      <c r="R7" s="398"/>
    </row>
    <row r="8" spans="1:18" ht="19.5">
      <c r="A8" s="109"/>
      <c r="B8" s="110" t="s">
        <v>300</v>
      </c>
      <c r="C8" s="440" t="s">
        <v>472</v>
      </c>
      <c r="D8" s="3"/>
      <c r="E8" s="4"/>
      <c r="F8" s="397"/>
      <c r="G8" s="4"/>
      <c r="H8" s="128" t="s">
        <v>236</v>
      </c>
      <c r="I8" s="404"/>
      <c r="J8" s="128"/>
      <c r="K8" s="192" t="s">
        <v>301</v>
      </c>
      <c r="L8" s="404"/>
      <c r="M8" s="128"/>
      <c r="N8" s="119"/>
      <c r="O8" s="398"/>
      <c r="P8" s="119"/>
      <c r="Q8" s="119"/>
      <c r="R8" s="398"/>
    </row>
    <row r="9" spans="1:18" ht="15.75">
      <c r="A9" s="4"/>
      <c r="B9" s="4"/>
      <c r="C9" s="3" t="s">
        <v>340</v>
      </c>
      <c r="D9" s="524"/>
      <c r="E9" s="162" t="s">
        <v>473</v>
      </c>
      <c r="F9" s="397"/>
      <c r="G9" s="156"/>
      <c r="H9" s="162" t="s">
        <v>474</v>
      </c>
      <c r="I9" s="405"/>
      <c r="J9" s="162"/>
      <c r="K9" s="162" t="s">
        <v>475</v>
      </c>
      <c r="L9" s="405"/>
      <c r="M9" s="162"/>
      <c r="N9" s="162" t="s">
        <v>476</v>
      </c>
      <c r="O9" s="405"/>
      <c r="P9" s="162"/>
      <c r="Q9" s="162" t="s">
        <v>477</v>
      </c>
      <c r="R9" s="405"/>
    </row>
    <row r="10" spans="1:19" ht="15.75">
      <c r="A10" s="119"/>
      <c r="B10" s="56" t="s">
        <v>155</v>
      </c>
      <c r="C10" s="56"/>
      <c r="D10" s="366"/>
      <c r="E10" s="11"/>
      <c r="F10" s="399" t="s">
        <v>218</v>
      </c>
      <c r="G10" s="363"/>
      <c r="H10" s="119"/>
      <c r="I10" s="399" t="s">
        <v>218</v>
      </c>
      <c r="J10" s="363"/>
      <c r="K10" s="119"/>
      <c r="L10" s="399" t="s">
        <v>218</v>
      </c>
      <c r="M10" s="363"/>
      <c r="N10" s="119"/>
      <c r="O10" s="399" t="s">
        <v>218</v>
      </c>
      <c r="P10" s="363"/>
      <c r="Q10" s="119"/>
      <c r="R10" s="399" t="s">
        <v>218</v>
      </c>
      <c r="S10" s="160"/>
    </row>
    <row r="11" spans="1:18" ht="15.75">
      <c r="A11" s="119"/>
      <c r="B11" s="12" t="s">
        <v>18</v>
      </c>
      <c r="C11" s="464">
        <f>E11/12</f>
        <v>39583.333333333336</v>
      </c>
      <c r="D11" s="367"/>
      <c r="E11" s="247">
        <v>475000</v>
      </c>
      <c r="F11" s="400">
        <f>E11/E16</f>
        <v>0.6711409395973155</v>
      </c>
      <c r="G11" s="364"/>
      <c r="H11" s="191">
        <f>+E11+E11*0.1</f>
        <v>522500</v>
      </c>
      <c r="I11" s="406">
        <f>H11/H16</f>
        <v>0.6709362610551998</v>
      </c>
      <c r="J11" s="375"/>
      <c r="K11" s="191">
        <f>+H11+H11*0.05</f>
        <v>548625</v>
      </c>
      <c r="L11" s="406">
        <f>K11/K16</f>
        <v>0.6709362610551998</v>
      </c>
      <c r="M11" s="375"/>
      <c r="N11" s="191">
        <f>+K11+K11*0.05</f>
        <v>576056.25</v>
      </c>
      <c r="O11" s="406">
        <f>N11/N16</f>
        <v>0.6709362610551998</v>
      </c>
      <c r="P11" s="375"/>
      <c r="Q11" s="165">
        <f>+N11+N11*0.05</f>
        <v>604859.0625</v>
      </c>
      <c r="R11" s="406">
        <f>Q11/Q16</f>
        <v>0.6709362610551998</v>
      </c>
    </row>
    <row r="12" spans="1:42" s="459" customFormat="1" ht="15.75">
      <c r="A12" s="122"/>
      <c r="B12" s="683" t="s">
        <v>304</v>
      </c>
      <c r="C12" s="455">
        <f>E12/12</f>
        <v>13854.166666666666</v>
      </c>
      <c r="D12" s="456"/>
      <c r="E12" s="684">
        <f>E11*0.35</f>
        <v>166250</v>
      </c>
      <c r="F12" s="395">
        <f>E12/E16</f>
        <v>0.2348993288590604</v>
      </c>
      <c r="G12" s="457"/>
      <c r="H12" s="685">
        <f>+E12+E12*0.1</f>
        <v>182875</v>
      </c>
      <c r="I12" s="414">
        <f>H12/H16</f>
        <v>0.2348276913693199</v>
      </c>
      <c r="J12" s="458"/>
      <c r="K12" s="685">
        <f>+H12+H12*0.05</f>
        <v>192018.75</v>
      </c>
      <c r="L12" s="414">
        <f>K12/K16</f>
        <v>0.2348276913693199</v>
      </c>
      <c r="M12" s="458"/>
      <c r="N12" s="685">
        <f>+K12+K12*0.05</f>
        <v>201619.6875</v>
      </c>
      <c r="O12" s="414">
        <f>N12/N16</f>
        <v>0.2348276913693199</v>
      </c>
      <c r="P12" s="458"/>
      <c r="Q12" s="413">
        <f>+N12+N12*0.05</f>
        <v>211700.671875</v>
      </c>
      <c r="R12" s="414">
        <f>Q12/Q16</f>
        <v>0.2348276913693199</v>
      </c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</row>
    <row r="13" spans="1:42" s="459" customFormat="1" ht="15.75">
      <c r="A13" s="394"/>
      <c r="B13" s="683" t="s">
        <v>305</v>
      </c>
      <c r="C13" s="455">
        <f>E13/12</f>
        <v>4750</v>
      </c>
      <c r="D13" s="456"/>
      <c r="E13" s="684">
        <f>E11*0.12</f>
        <v>57000</v>
      </c>
      <c r="F13" s="395">
        <f>E13/E16</f>
        <v>0.08053691275167785</v>
      </c>
      <c r="G13" s="457"/>
      <c r="H13" s="685">
        <f>+E13+E13*0.1</f>
        <v>62700</v>
      </c>
      <c r="I13" s="414">
        <f>H13/H16</f>
        <v>0.08051235132662397</v>
      </c>
      <c r="J13" s="458"/>
      <c r="K13" s="685">
        <f>+H13+H13*0.05</f>
        <v>65835</v>
      </c>
      <c r="L13" s="414">
        <f>K13/K16</f>
        <v>0.08051235132662397</v>
      </c>
      <c r="M13" s="458"/>
      <c r="N13" s="685">
        <f>+K13+K13*0.05</f>
        <v>69126.75</v>
      </c>
      <c r="O13" s="414">
        <f>N13/N16</f>
        <v>0.08051235132662397</v>
      </c>
      <c r="P13" s="458"/>
      <c r="Q13" s="413">
        <f>+N13+N13*0.05</f>
        <v>72583.0875</v>
      </c>
      <c r="R13" s="414">
        <f>Q13/Q16</f>
        <v>0.08051235132662396</v>
      </c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</row>
    <row r="14" spans="1:42" s="459" customFormat="1" ht="15.75">
      <c r="A14" s="394"/>
      <c r="B14" s="686" t="s">
        <v>303</v>
      </c>
      <c r="C14" s="455">
        <f>E14/12</f>
        <v>1187.5</v>
      </c>
      <c r="D14" s="456"/>
      <c r="E14" s="687">
        <f>E11*0.03</f>
        <v>14250</v>
      </c>
      <c r="F14" s="395">
        <f>E14/E16</f>
        <v>0.020134228187919462</v>
      </c>
      <c r="G14" s="457"/>
      <c r="H14" s="685">
        <f>+E14+E14*0.1</f>
        <v>15675</v>
      </c>
      <c r="I14" s="414">
        <f>H14/H16</f>
        <v>0.020128087831655993</v>
      </c>
      <c r="J14" s="458"/>
      <c r="K14" s="685">
        <f>+H14+H14*0.05</f>
        <v>16458.75</v>
      </c>
      <c r="L14" s="414">
        <f>K14/K16</f>
        <v>0.020128087831655993</v>
      </c>
      <c r="M14" s="458"/>
      <c r="N14" s="685">
        <f>+K14+K14*0.05</f>
        <v>17281.6875</v>
      </c>
      <c r="O14" s="414">
        <f>N14/N16</f>
        <v>0.020128087831655993</v>
      </c>
      <c r="P14" s="458"/>
      <c r="Q14" s="413">
        <f>+N14+N14*0.05</f>
        <v>18145.771875</v>
      </c>
      <c r="R14" s="414">
        <f>Q14/Q16</f>
        <v>0.02012808783165599</v>
      </c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</row>
    <row r="15" spans="1:19" ht="15.75">
      <c r="A15" s="119"/>
      <c r="B15" s="12" t="s">
        <v>30</v>
      </c>
      <c r="C15" s="464">
        <f>E15/12</f>
        <v>-395.8333333333333</v>
      </c>
      <c r="D15" s="367"/>
      <c r="E15" s="159">
        <f>-E11*0.01</f>
        <v>-4750</v>
      </c>
      <c r="F15" s="400">
        <f>E15/E16</f>
        <v>-0.006711409395973154</v>
      </c>
      <c r="G15" s="364"/>
      <c r="H15" s="191">
        <f>+E15+E15*0.05</f>
        <v>-4987.5</v>
      </c>
      <c r="I15" s="406">
        <f>H15/H16</f>
        <v>-0.006404391582799634</v>
      </c>
      <c r="J15" s="375"/>
      <c r="K15" s="191">
        <f>+H15+H15*0.05</f>
        <v>-5236.875</v>
      </c>
      <c r="L15" s="406">
        <f>K15/K16</f>
        <v>-0.006404391582799634</v>
      </c>
      <c r="M15" s="375"/>
      <c r="N15" s="191">
        <f>+K15+K15*0.05</f>
        <v>-5498.71875</v>
      </c>
      <c r="O15" s="406">
        <f>N15/N16</f>
        <v>-0.006404391582799634</v>
      </c>
      <c r="P15" s="375"/>
      <c r="Q15" s="165">
        <f>+N15+N15*0.05</f>
        <v>-5773.6546875</v>
      </c>
      <c r="R15" s="406">
        <f>Q15/Q16</f>
        <v>-0.006404391582799635</v>
      </c>
      <c r="S15" s="198"/>
    </row>
    <row r="16" spans="1:42" s="392" customFormat="1" ht="13.5">
      <c r="A16" s="383"/>
      <c r="B16" s="384" t="s">
        <v>156</v>
      </c>
      <c r="C16" s="432">
        <f>SUM(C11:C15)</f>
        <v>58979.166666666664</v>
      </c>
      <c r="D16" s="385"/>
      <c r="E16" s="386">
        <f>SUM(E11:E15)</f>
        <v>707750</v>
      </c>
      <c r="F16" s="401">
        <f>E16/E16</f>
        <v>1</v>
      </c>
      <c r="G16" s="387"/>
      <c r="H16" s="388">
        <f>SUM(H11:H15)</f>
        <v>778762.5</v>
      </c>
      <c r="I16" s="407">
        <f>H16/H16</f>
        <v>1</v>
      </c>
      <c r="J16" s="389"/>
      <c r="K16" s="388">
        <f>SUM(K11:K15)</f>
        <v>817700.625</v>
      </c>
      <c r="L16" s="407">
        <f>K16/K16</f>
        <v>1</v>
      </c>
      <c r="M16" s="389"/>
      <c r="N16" s="388">
        <f>SUM(N11:N15)</f>
        <v>858585.65625</v>
      </c>
      <c r="O16" s="407">
        <f>N16/N16</f>
        <v>1</v>
      </c>
      <c r="P16" s="389"/>
      <c r="Q16" s="390">
        <f>SUM(Q11:Q15)</f>
        <v>901514.9390625</v>
      </c>
      <c r="R16" s="401">
        <f>Q16/Q16</f>
        <v>1</v>
      </c>
      <c r="S16" s="391"/>
      <c r="T16" s="693"/>
      <c r="U16" s="693"/>
      <c r="V16" s="693"/>
      <c r="W16" s="693"/>
      <c r="X16" s="693"/>
      <c r="Y16" s="693"/>
      <c r="Z16" s="693"/>
      <c r="AA16" s="693"/>
      <c r="AB16" s="693"/>
      <c r="AC16" s="693"/>
      <c r="AD16" s="693"/>
      <c r="AE16" s="693"/>
      <c r="AF16" s="693"/>
      <c r="AG16" s="693"/>
      <c r="AH16" s="693"/>
      <c r="AI16" s="693"/>
      <c r="AJ16" s="693"/>
      <c r="AK16" s="693"/>
      <c r="AL16" s="693"/>
      <c r="AM16" s="693"/>
      <c r="AN16" s="693"/>
      <c r="AO16" s="693"/>
      <c r="AP16" s="693"/>
    </row>
    <row r="17" spans="1:19" ht="13.5">
      <c r="A17" s="119"/>
      <c r="B17" s="419"/>
      <c r="C17" s="433"/>
      <c r="D17" s="114"/>
      <c r="E17" s="119"/>
      <c r="F17" s="398"/>
      <c r="G17" s="114"/>
      <c r="H17" s="119"/>
      <c r="I17" s="398"/>
      <c r="J17" s="114"/>
      <c r="K17" s="119"/>
      <c r="L17" s="398"/>
      <c r="M17" s="114"/>
      <c r="N17" s="119"/>
      <c r="O17" s="398"/>
      <c r="P17" s="114"/>
      <c r="Q17" s="119"/>
      <c r="R17" s="398"/>
      <c r="S17" s="198"/>
    </row>
    <row r="18" spans="1:19" ht="15.75">
      <c r="A18" s="119"/>
      <c r="B18" s="163" t="s">
        <v>224</v>
      </c>
      <c r="C18" s="434"/>
      <c r="D18" s="368"/>
      <c r="E18" s="119"/>
      <c r="F18" s="398"/>
      <c r="G18" s="114"/>
      <c r="H18" s="119"/>
      <c r="I18" s="398"/>
      <c r="J18" s="114"/>
      <c r="K18" s="119"/>
      <c r="L18" s="398"/>
      <c r="M18" s="114"/>
      <c r="N18" s="119"/>
      <c r="O18" s="398"/>
      <c r="P18" s="114"/>
      <c r="Q18" s="119"/>
      <c r="R18" s="398"/>
      <c r="S18" s="198"/>
    </row>
    <row r="19" spans="1:19" ht="15.75">
      <c r="A19" s="119"/>
      <c r="B19" s="20" t="s">
        <v>306</v>
      </c>
      <c r="C19" s="464">
        <f>E19/12</f>
        <v>12270.833333333334</v>
      </c>
      <c r="D19" s="367"/>
      <c r="E19" s="164">
        <f>E11*0.31</f>
        <v>147250</v>
      </c>
      <c r="F19" s="400">
        <f>E19/E16</f>
        <v>0.2080536912751678</v>
      </c>
      <c r="G19" s="364"/>
      <c r="H19" s="164">
        <f>H11*0.31</f>
        <v>161975</v>
      </c>
      <c r="I19" s="406">
        <f>H19/H16</f>
        <v>0.20799024092711194</v>
      </c>
      <c r="J19" s="375"/>
      <c r="K19" s="164">
        <f>K11*0.31</f>
        <v>170073.75</v>
      </c>
      <c r="L19" s="406">
        <f>K19/K16</f>
        <v>0.20799024092711194</v>
      </c>
      <c r="M19" s="375"/>
      <c r="N19" s="164">
        <f>N11*0.31</f>
        <v>178577.4375</v>
      </c>
      <c r="O19" s="406">
        <f>N19/N16</f>
        <v>0.20799024092711194</v>
      </c>
      <c r="P19" s="375"/>
      <c r="Q19" s="164">
        <f>Q11*0.31</f>
        <v>187506.309375</v>
      </c>
      <c r="R19" s="406">
        <f>Q19/Q16</f>
        <v>0.20799024092711194</v>
      </c>
      <c r="S19" s="198"/>
    </row>
    <row r="20" spans="1:19" ht="15.75">
      <c r="A20" s="119"/>
      <c r="B20" s="14" t="s">
        <v>307</v>
      </c>
      <c r="C20" s="464">
        <f>E20/12</f>
        <v>3047.9166666666665</v>
      </c>
      <c r="D20" s="367"/>
      <c r="E20" s="164">
        <f>E12*0.22</f>
        <v>36575</v>
      </c>
      <c r="F20" s="400">
        <f>E20/E16</f>
        <v>0.05167785234899329</v>
      </c>
      <c r="G20" s="364"/>
      <c r="H20" s="164">
        <f>H12*0.22</f>
        <v>40232.5</v>
      </c>
      <c r="I20" s="406">
        <f>H20/H16</f>
        <v>0.05166209210125038</v>
      </c>
      <c r="J20" s="375"/>
      <c r="K20" s="164">
        <f>K12*0.22</f>
        <v>42244.125</v>
      </c>
      <c r="L20" s="406">
        <f>K20/K16</f>
        <v>0.05166209210125038</v>
      </c>
      <c r="M20" s="375"/>
      <c r="N20" s="164">
        <f>N12*0.22</f>
        <v>44356.33125</v>
      </c>
      <c r="O20" s="406">
        <f>N20/N16</f>
        <v>0.05166209210125038</v>
      </c>
      <c r="P20" s="375"/>
      <c r="Q20" s="164">
        <f>Q12*0.22</f>
        <v>46574.1478125</v>
      </c>
      <c r="R20" s="406">
        <f>Q20/Q16</f>
        <v>0.051662092101250376</v>
      </c>
      <c r="S20" s="198"/>
    </row>
    <row r="21" spans="1:19" ht="15.75">
      <c r="A21" s="119"/>
      <c r="B21" s="20" t="s">
        <v>308</v>
      </c>
      <c r="C21" s="464">
        <f>E21/12</f>
        <v>1501</v>
      </c>
      <c r="D21" s="367"/>
      <c r="E21" s="164">
        <f>E13*0.316</f>
        <v>18012</v>
      </c>
      <c r="F21" s="400">
        <f>E21/E16</f>
        <v>0.0254496644295302</v>
      </c>
      <c r="G21" s="364"/>
      <c r="H21" s="164">
        <f>H13*0.316</f>
        <v>19813.2</v>
      </c>
      <c r="I21" s="406">
        <f>H21/H16</f>
        <v>0.025441903019213175</v>
      </c>
      <c r="J21" s="375"/>
      <c r="K21" s="164">
        <f>K13*0.316</f>
        <v>20803.86</v>
      </c>
      <c r="L21" s="406">
        <f>K21/K16</f>
        <v>0.025441903019213175</v>
      </c>
      <c r="M21" s="375"/>
      <c r="N21" s="164">
        <f>N13*0.316</f>
        <v>21844.053</v>
      </c>
      <c r="O21" s="406">
        <f>N21/N16</f>
        <v>0.025441903019213175</v>
      </c>
      <c r="P21" s="375"/>
      <c r="Q21" s="164">
        <f>Q13*0.316</f>
        <v>22936.25565</v>
      </c>
      <c r="R21" s="406">
        <f>Q21/Q16</f>
        <v>0.025441903019213175</v>
      </c>
      <c r="S21" s="452"/>
    </row>
    <row r="22" spans="1:19" ht="15.75">
      <c r="A22" s="119"/>
      <c r="B22" s="20" t="s">
        <v>309</v>
      </c>
      <c r="C22" s="464">
        <f>E22/12</f>
        <v>349.125</v>
      </c>
      <c r="D22" s="367"/>
      <c r="E22" s="164">
        <f>0.294*E14</f>
        <v>4189.5</v>
      </c>
      <c r="F22" s="400">
        <f>E22/E16</f>
        <v>0.005919463087248322</v>
      </c>
      <c r="G22" s="364"/>
      <c r="H22" s="164">
        <f>0.294*H14</f>
        <v>4608.45</v>
      </c>
      <c r="I22" s="406">
        <f>H22/H16</f>
        <v>0.005917657822506862</v>
      </c>
      <c r="J22" s="375"/>
      <c r="K22" s="164">
        <f>0.294*K14</f>
        <v>4838.8724999999995</v>
      </c>
      <c r="L22" s="406">
        <f>K22/K16</f>
        <v>0.005917657822506861</v>
      </c>
      <c r="M22" s="375"/>
      <c r="N22" s="164">
        <f>0.294*N14</f>
        <v>5080.816124999999</v>
      </c>
      <c r="O22" s="406">
        <f>N22/N16</f>
        <v>0.005917657822506861</v>
      </c>
      <c r="P22" s="375"/>
      <c r="Q22" s="164">
        <f>0.294*Q14</f>
        <v>5334.856931249999</v>
      </c>
      <c r="R22" s="406">
        <f>Q22/Q16</f>
        <v>0.005917657822506861</v>
      </c>
      <c r="S22" s="452"/>
    </row>
    <row r="23" spans="1:19" ht="16.5" thickBot="1">
      <c r="A23" s="119"/>
      <c r="B23" s="141" t="s">
        <v>368</v>
      </c>
      <c r="C23" s="464">
        <f>E23/12</f>
        <v>589.7916666666666</v>
      </c>
      <c r="D23" s="367"/>
      <c r="E23" s="164">
        <f>E16*0.01</f>
        <v>7077.5</v>
      </c>
      <c r="F23" s="400">
        <f>E23/E16</f>
        <v>0.01</v>
      </c>
      <c r="G23" s="364"/>
      <c r="H23" s="164">
        <f>H16*0.01</f>
        <v>7787.625</v>
      </c>
      <c r="I23" s="408">
        <f>H23/H16</f>
        <v>0.01</v>
      </c>
      <c r="J23" s="376"/>
      <c r="K23" s="164">
        <f>K16*0.01</f>
        <v>8177.00625</v>
      </c>
      <c r="L23" s="406">
        <f>K23/K16</f>
        <v>0.01</v>
      </c>
      <c r="M23" s="375"/>
      <c r="N23" s="164">
        <f>N16*0.01</f>
        <v>8585.856562500001</v>
      </c>
      <c r="O23" s="406">
        <f>N23/N16</f>
        <v>0.010000000000000002</v>
      </c>
      <c r="P23" s="375"/>
      <c r="Q23" s="164">
        <f>Q16*0.01</f>
        <v>9015.149390625</v>
      </c>
      <c r="R23" s="406">
        <f>Q23/Q16</f>
        <v>0.01</v>
      </c>
      <c r="S23" s="452" t="s">
        <v>310</v>
      </c>
    </row>
    <row r="24" spans="1:42" s="176" customFormat="1" ht="16.5" thickBot="1">
      <c r="A24" s="173"/>
      <c r="B24" s="174" t="s">
        <v>40</v>
      </c>
      <c r="C24" s="435">
        <f>SUM(C19:C23)</f>
        <v>17758.666666666668</v>
      </c>
      <c r="D24" s="367"/>
      <c r="E24" s="175">
        <f>SUM(E19:E23)</f>
        <v>213104</v>
      </c>
      <c r="F24" s="400">
        <f>E24/E16</f>
        <v>0.3011006711409396</v>
      </c>
      <c r="G24" s="364"/>
      <c r="H24" s="175">
        <f>SUM(H19:H23)</f>
        <v>234416.77500000002</v>
      </c>
      <c r="I24" s="406">
        <f>H24/H16</f>
        <v>0.30101189387008237</v>
      </c>
      <c r="J24" s="375"/>
      <c r="K24" s="175">
        <f>SUM(K19:K23)</f>
        <v>246137.61375</v>
      </c>
      <c r="L24" s="406">
        <f>K24/K16</f>
        <v>0.3010118938700823</v>
      </c>
      <c r="M24" s="375"/>
      <c r="N24" s="175">
        <f>SUM(N19:N23)</f>
        <v>258444.49443750002</v>
      </c>
      <c r="O24" s="406">
        <f>N24/N16</f>
        <v>0.30101189387008237</v>
      </c>
      <c r="P24" s="375"/>
      <c r="Q24" s="175">
        <f>SUM(Q19:Q23)</f>
        <v>271366.71915937506</v>
      </c>
      <c r="R24" s="406">
        <f>Q24/Q16</f>
        <v>0.3010118938700824</v>
      </c>
      <c r="S24" s="453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</row>
    <row r="25" spans="2:19" s="171" customFormat="1" ht="16.5" thickBot="1">
      <c r="B25" s="155"/>
      <c r="C25" s="436"/>
      <c r="D25" s="369"/>
      <c r="E25" s="172"/>
      <c r="F25" s="402"/>
      <c r="G25" s="365"/>
      <c r="I25" s="402"/>
      <c r="J25" s="365"/>
      <c r="L25" s="402"/>
      <c r="M25" s="365"/>
      <c r="O25" s="402"/>
      <c r="P25" s="365"/>
      <c r="R25" s="402"/>
      <c r="S25" s="453"/>
    </row>
    <row r="26" spans="1:42" s="382" customFormat="1" ht="15" thickBot="1">
      <c r="A26" s="377"/>
      <c r="B26" s="378" t="s">
        <v>227</v>
      </c>
      <c r="C26" s="437">
        <f>+C16-C24</f>
        <v>41220.5</v>
      </c>
      <c r="D26" s="379"/>
      <c r="E26" s="380">
        <f>+E16-E24</f>
        <v>494646</v>
      </c>
      <c r="F26" s="400">
        <f>E26/E16</f>
        <v>0.6988993288590604</v>
      </c>
      <c r="G26" s="381"/>
      <c r="H26" s="380">
        <f>+H16-H24</f>
        <v>544345.725</v>
      </c>
      <c r="I26" s="400">
        <f>H26/H16</f>
        <v>0.6989881061299176</v>
      </c>
      <c r="J26" s="381"/>
      <c r="K26" s="380">
        <f>+K16-K24</f>
        <v>571563.01125</v>
      </c>
      <c r="L26" s="400">
        <f>K26/K16</f>
        <v>0.6989881061299177</v>
      </c>
      <c r="M26" s="381"/>
      <c r="N26" s="380">
        <f>+N16-N24</f>
        <v>600141.1618125</v>
      </c>
      <c r="O26" s="400">
        <f>N26/N16</f>
        <v>0.6989881061299177</v>
      </c>
      <c r="P26" s="381"/>
      <c r="Q26" s="380">
        <f>+Q16-Q24</f>
        <v>630148.219903125</v>
      </c>
      <c r="R26" s="400">
        <f>Q26/Q16</f>
        <v>0.6989881061299176</v>
      </c>
      <c r="S26" s="453"/>
      <c r="T26" s="694"/>
      <c r="U26" s="694"/>
      <c r="V26" s="694"/>
      <c r="W26" s="694"/>
      <c r="X26" s="694"/>
      <c r="Y26" s="694"/>
      <c r="Z26" s="694"/>
      <c r="AA26" s="694"/>
      <c r="AB26" s="694"/>
      <c r="AC26" s="694"/>
      <c r="AD26" s="694"/>
      <c r="AE26" s="694"/>
      <c r="AF26" s="694"/>
      <c r="AG26" s="694"/>
      <c r="AH26" s="694"/>
      <c r="AI26" s="694"/>
      <c r="AJ26" s="694"/>
      <c r="AK26" s="694"/>
      <c r="AL26" s="694"/>
      <c r="AM26" s="694"/>
      <c r="AN26" s="694"/>
      <c r="AO26" s="694"/>
      <c r="AP26" s="694"/>
    </row>
    <row r="27" spans="1:19" ht="13.5">
      <c r="A27" s="119"/>
      <c r="B27" s="419"/>
      <c r="C27" s="433"/>
      <c r="D27" s="114"/>
      <c r="E27" s="119"/>
      <c r="F27" s="398"/>
      <c r="G27" s="114"/>
      <c r="H27" s="119"/>
      <c r="I27" s="398"/>
      <c r="J27" s="114"/>
      <c r="K27" s="119"/>
      <c r="L27" s="398"/>
      <c r="M27" s="114"/>
      <c r="N27" s="119"/>
      <c r="O27" s="398"/>
      <c r="P27" s="114"/>
      <c r="Q27" s="119"/>
      <c r="R27" s="398"/>
      <c r="S27" s="452"/>
    </row>
    <row r="28" spans="1:19" ht="15.75">
      <c r="A28" s="119"/>
      <c r="B28" s="140" t="s">
        <v>225</v>
      </c>
      <c r="C28" s="438"/>
      <c r="D28" s="370"/>
      <c r="E28" s="119"/>
      <c r="F28" s="398"/>
      <c r="G28" s="114"/>
      <c r="H28" s="119"/>
      <c r="I28" s="398"/>
      <c r="J28" s="114"/>
      <c r="K28" s="119"/>
      <c r="L28" s="398"/>
      <c r="M28" s="114"/>
      <c r="N28" s="119"/>
      <c r="O28" s="398"/>
      <c r="P28" s="114"/>
      <c r="Q28" s="119"/>
      <c r="R28" s="398"/>
      <c r="S28" s="452"/>
    </row>
    <row r="29" spans="1:42" s="185" customFormat="1" ht="15.75">
      <c r="A29" s="168"/>
      <c r="B29" s="632" t="s">
        <v>41</v>
      </c>
      <c r="C29" s="666">
        <f>E29/12</f>
        <v>15764.666666666666</v>
      </c>
      <c r="D29" s="661"/>
      <c r="E29" s="656">
        <v>189176</v>
      </c>
      <c r="F29" s="657">
        <f>E29/E16</f>
        <v>0.26729212292476157</v>
      </c>
      <c r="G29" s="662"/>
      <c r="H29" s="667">
        <f>E29+E29*0.15</f>
        <v>217552.4</v>
      </c>
      <c r="I29" s="658">
        <f>H29/H16</f>
        <v>0.27935654323365594</v>
      </c>
      <c r="J29" s="663"/>
      <c r="K29" s="667">
        <f aca="true" t="shared" si="0" ref="K29:K35">H29+H29*0.05</f>
        <v>228430.02</v>
      </c>
      <c r="L29" s="658">
        <f>K29/K16</f>
        <v>0.27935654323365594</v>
      </c>
      <c r="M29" s="663"/>
      <c r="N29" s="667">
        <f aca="true" t="shared" si="1" ref="N29:N35">K29+K29*0.05</f>
        <v>239851.52099999998</v>
      </c>
      <c r="O29" s="658">
        <f>N29/N16</f>
        <v>0.27935654323365594</v>
      </c>
      <c r="P29" s="663"/>
      <c r="Q29" s="667">
        <f aca="true" t="shared" si="2" ref="Q29:Q35">N29+N29*0.05</f>
        <v>251844.09704999998</v>
      </c>
      <c r="R29" s="658">
        <f>Q29/Q16</f>
        <v>0.27935654323365594</v>
      </c>
      <c r="S29" s="660" t="s">
        <v>310</v>
      </c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s="459" customFormat="1" ht="15.75">
      <c r="A30" s="122"/>
      <c r="B30" s="454" t="s">
        <v>342</v>
      </c>
      <c r="C30" s="455">
        <f>E30/12</f>
        <v>1500</v>
      </c>
      <c r="D30" s="456"/>
      <c r="E30" s="412">
        <v>18000</v>
      </c>
      <c r="F30" s="395">
        <f>E30/E16</f>
        <v>0.025432709290003533</v>
      </c>
      <c r="G30" s="457"/>
      <c r="H30" s="413">
        <f>E30+E30*0.05</f>
        <v>18900</v>
      </c>
      <c r="I30" s="414">
        <f>H30/H16</f>
        <v>0.024269273366398614</v>
      </c>
      <c r="J30" s="458"/>
      <c r="K30" s="413">
        <f t="shared" si="0"/>
        <v>19845</v>
      </c>
      <c r="L30" s="414">
        <f>K30/K16</f>
        <v>0.024269273366398614</v>
      </c>
      <c r="M30" s="458"/>
      <c r="N30" s="413">
        <f t="shared" si="1"/>
        <v>20837.25</v>
      </c>
      <c r="O30" s="414">
        <f>N30/N16</f>
        <v>0.024269273366398614</v>
      </c>
      <c r="P30" s="458"/>
      <c r="Q30" s="413">
        <f t="shared" si="2"/>
        <v>21879.1125</v>
      </c>
      <c r="R30" s="414">
        <f>Q30/Q16</f>
        <v>0.02426927336639861</v>
      </c>
      <c r="S30" s="452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</row>
    <row r="31" spans="2:42" s="394" customFormat="1" ht="15.75">
      <c r="B31" s="460" t="s">
        <v>346</v>
      </c>
      <c r="C31" s="439">
        <f>E31/12</f>
        <v>266.6666666666667</v>
      </c>
      <c r="D31" s="456"/>
      <c r="E31" s="412">
        <v>3200</v>
      </c>
      <c r="F31" s="395">
        <f>E31/E16</f>
        <v>0.004521370540445073</v>
      </c>
      <c r="G31" s="457"/>
      <c r="H31" s="413">
        <f>E31+E31*0.05</f>
        <v>3360</v>
      </c>
      <c r="I31" s="414">
        <f>H31/H16</f>
        <v>0.0043145374873597535</v>
      </c>
      <c r="J31" s="458"/>
      <c r="K31" s="413">
        <f>H31+H31*0.05</f>
        <v>3528</v>
      </c>
      <c r="L31" s="414">
        <f>K31/K16</f>
        <v>0.0043145374873597535</v>
      </c>
      <c r="M31" s="458"/>
      <c r="N31" s="413">
        <f>K31+K31*0.05</f>
        <v>3704.4</v>
      </c>
      <c r="O31" s="414">
        <f>N31/N16</f>
        <v>0.0043145374873597535</v>
      </c>
      <c r="P31" s="458"/>
      <c r="Q31" s="413">
        <f>N31+N31*0.05</f>
        <v>3889.62</v>
      </c>
      <c r="R31" s="414">
        <f>Q31/Q16</f>
        <v>0.0043145374873597535</v>
      </c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</row>
    <row r="32" spans="2:42" s="394" customFormat="1" ht="15.75">
      <c r="B32" s="460" t="s">
        <v>75</v>
      </c>
      <c r="C32" s="439">
        <f aca="true" t="shared" si="3" ref="C32:C49">E32/12</f>
        <v>500</v>
      </c>
      <c r="D32" s="456"/>
      <c r="E32" s="412">
        <v>6000</v>
      </c>
      <c r="F32" s="395">
        <f>E32/E16</f>
        <v>0.008477569763334511</v>
      </c>
      <c r="G32" s="457"/>
      <c r="H32" s="413">
        <f>E32+E32*0.05</f>
        <v>6300</v>
      </c>
      <c r="I32" s="414">
        <f>H32/H16</f>
        <v>0.008089757788799537</v>
      </c>
      <c r="J32" s="458"/>
      <c r="K32" s="413">
        <f t="shared" si="0"/>
        <v>6615</v>
      </c>
      <c r="L32" s="414">
        <f>K32/K16</f>
        <v>0.008089757788799537</v>
      </c>
      <c r="M32" s="458"/>
      <c r="N32" s="413">
        <f t="shared" si="1"/>
        <v>6945.75</v>
      </c>
      <c r="O32" s="414">
        <f>N32/N16</f>
        <v>0.008089757788799537</v>
      </c>
      <c r="P32" s="458"/>
      <c r="Q32" s="413">
        <f t="shared" si="2"/>
        <v>7293.0375</v>
      </c>
      <c r="R32" s="414">
        <f>Q32/Q16</f>
        <v>0.008089757788799537</v>
      </c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6"/>
      <c r="AJ32" s="416"/>
      <c r="AK32" s="416"/>
      <c r="AL32" s="416"/>
      <c r="AM32" s="416"/>
      <c r="AN32" s="416"/>
      <c r="AO32" s="416"/>
      <c r="AP32" s="416"/>
    </row>
    <row r="33" spans="2:42" s="394" customFormat="1" ht="15.75">
      <c r="B33" s="460" t="s">
        <v>347</v>
      </c>
      <c r="C33" s="439">
        <f t="shared" si="3"/>
        <v>1061.6250000000002</v>
      </c>
      <c r="D33" s="456"/>
      <c r="E33" s="412">
        <f>E16*1.8%</f>
        <v>12739.500000000002</v>
      </c>
      <c r="F33" s="395">
        <f>E33/E16</f>
        <v>0.018000000000000002</v>
      </c>
      <c r="G33" s="457"/>
      <c r="H33" s="412">
        <f>H16*1.8%</f>
        <v>14017.725000000002</v>
      </c>
      <c r="I33" s="414">
        <f>H33/H16</f>
        <v>0.018000000000000002</v>
      </c>
      <c r="J33" s="458"/>
      <c r="K33" s="412">
        <f>K16*1.8%</f>
        <v>14718.611250000002</v>
      </c>
      <c r="L33" s="414">
        <f>K33/K16</f>
        <v>0.018000000000000002</v>
      </c>
      <c r="M33" s="458"/>
      <c r="N33" s="412">
        <f>N16*1.8%</f>
        <v>15454.541812500001</v>
      </c>
      <c r="O33" s="414">
        <f>N33/N16</f>
        <v>0.018000000000000002</v>
      </c>
      <c r="P33" s="458"/>
      <c r="Q33" s="412">
        <f>Q16*1.8%</f>
        <v>16227.268903125003</v>
      </c>
      <c r="R33" s="414">
        <f>Q33/Q16</f>
        <v>0.018000000000000002</v>
      </c>
      <c r="T33" s="416"/>
      <c r="U33" s="416"/>
      <c r="V33" s="416"/>
      <c r="W33" s="416"/>
      <c r="X33" s="416"/>
      <c r="Y33" s="416"/>
      <c r="Z33" s="416"/>
      <c r="AA33" s="416"/>
      <c r="AB33" s="416"/>
      <c r="AC33" s="416"/>
      <c r="AD33" s="416"/>
      <c r="AE33" s="416"/>
      <c r="AF33" s="416"/>
      <c r="AG33" s="416"/>
      <c r="AH33" s="416"/>
      <c r="AI33" s="416"/>
      <c r="AJ33" s="416"/>
      <c r="AK33" s="416"/>
      <c r="AL33" s="416"/>
      <c r="AM33" s="416"/>
      <c r="AN33" s="416"/>
      <c r="AO33" s="416"/>
      <c r="AP33" s="416"/>
    </row>
    <row r="34" spans="1:42" s="394" customFormat="1" ht="15.75">
      <c r="A34" s="122"/>
      <c r="B34" s="460" t="s">
        <v>344</v>
      </c>
      <c r="C34" s="439">
        <f t="shared" si="3"/>
        <v>2500</v>
      </c>
      <c r="D34" s="456"/>
      <c r="E34" s="412">
        <v>30000</v>
      </c>
      <c r="F34" s="395">
        <f>E34/E16</f>
        <v>0.042387848816672555</v>
      </c>
      <c r="G34" s="457"/>
      <c r="H34" s="413">
        <f>E34+E34*0.05</f>
        <v>31500</v>
      </c>
      <c r="I34" s="414">
        <f>H34/H16</f>
        <v>0.04044878894399769</v>
      </c>
      <c r="J34" s="458"/>
      <c r="K34" s="413">
        <f t="shared" si="0"/>
        <v>33075</v>
      </c>
      <c r="L34" s="414">
        <f>K34/K16</f>
        <v>0.04044878894399769</v>
      </c>
      <c r="M34" s="458"/>
      <c r="N34" s="413">
        <f t="shared" si="1"/>
        <v>34728.75</v>
      </c>
      <c r="O34" s="414">
        <f>N34/N16</f>
        <v>0.04044878894399769</v>
      </c>
      <c r="P34" s="458"/>
      <c r="Q34" s="413">
        <f t="shared" si="2"/>
        <v>36465.1875</v>
      </c>
      <c r="R34" s="414">
        <f>Q34/Q16</f>
        <v>0.040448788943997685</v>
      </c>
      <c r="S34" s="452" t="s">
        <v>372</v>
      </c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</row>
    <row r="35" spans="2:42" s="394" customFormat="1" ht="15.75">
      <c r="B35" s="460" t="s">
        <v>349</v>
      </c>
      <c r="C35" s="439">
        <f t="shared" si="3"/>
        <v>300</v>
      </c>
      <c r="D35" s="456"/>
      <c r="E35" s="412">
        <v>3600</v>
      </c>
      <c r="F35" s="395">
        <f>E35/E16</f>
        <v>0.005086541858000706</v>
      </c>
      <c r="G35" s="457"/>
      <c r="H35" s="413">
        <f>E35+E35*0.05</f>
        <v>3780</v>
      </c>
      <c r="I35" s="414">
        <f>H35/H16</f>
        <v>0.004853854673279722</v>
      </c>
      <c r="J35" s="458"/>
      <c r="K35" s="413">
        <f t="shared" si="0"/>
        <v>3969</v>
      </c>
      <c r="L35" s="414">
        <f>K35/K16</f>
        <v>0.004853854673279722</v>
      </c>
      <c r="M35" s="458"/>
      <c r="N35" s="413">
        <f t="shared" si="1"/>
        <v>4167.45</v>
      </c>
      <c r="O35" s="414">
        <f>N35/N16</f>
        <v>0.004853854673279722</v>
      </c>
      <c r="P35" s="458"/>
      <c r="Q35" s="413">
        <f t="shared" si="2"/>
        <v>4375.8225</v>
      </c>
      <c r="R35" s="414">
        <f>Q35/Q16</f>
        <v>0.004853854673279723</v>
      </c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6"/>
      <c r="AM35" s="416"/>
      <c r="AN35" s="416"/>
      <c r="AO35" s="416"/>
      <c r="AP35" s="416"/>
    </row>
    <row r="36" spans="2:42" s="394" customFormat="1" ht="15.75">
      <c r="B36" s="460" t="s">
        <v>348</v>
      </c>
      <c r="C36" s="439">
        <f t="shared" si="3"/>
        <v>62.5</v>
      </c>
      <c r="D36" s="456"/>
      <c r="E36" s="412">
        <v>750</v>
      </c>
      <c r="F36" s="395">
        <f>E36/E16</f>
        <v>0.0010596962204168139</v>
      </c>
      <c r="G36" s="457"/>
      <c r="H36" s="413">
        <f>E36+E36*0.05</f>
        <v>787.5</v>
      </c>
      <c r="I36" s="414">
        <f>H36/H16</f>
        <v>0.0010112197235999422</v>
      </c>
      <c r="J36" s="458"/>
      <c r="K36" s="413">
        <f>H36+H36*0.05</f>
        <v>826.875</v>
      </c>
      <c r="L36" s="414">
        <f>K36/K16</f>
        <v>0.0010112197235999422</v>
      </c>
      <c r="M36" s="458"/>
      <c r="N36" s="413">
        <f>K36+K36*0.05</f>
        <v>868.21875</v>
      </c>
      <c r="O36" s="414">
        <f>N36/N16</f>
        <v>0.0010112197235999422</v>
      </c>
      <c r="P36" s="458"/>
      <c r="Q36" s="413">
        <f>N36+N36*0.05</f>
        <v>911.6296875</v>
      </c>
      <c r="R36" s="414">
        <f>Q36/Q16</f>
        <v>0.0010112197235999422</v>
      </c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6"/>
      <c r="AI36" s="416"/>
      <c r="AJ36" s="416"/>
      <c r="AK36" s="416"/>
      <c r="AL36" s="416"/>
      <c r="AM36" s="416"/>
      <c r="AN36" s="416"/>
      <c r="AO36" s="416"/>
      <c r="AP36" s="416"/>
    </row>
    <row r="37" spans="2:42" s="168" customFormat="1" ht="15.75">
      <c r="B37" s="632" t="s">
        <v>508</v>
      </c>
      <c r="C37" s="655">
        <f t="shared" si="3"/>
        <v>1780</v>
      </c>
      <c r="D37" s="661"/>
      <c r="E37" s="656">
        <v>21360</v>
      </c>
      <c r="F37" s="657">
        <f>E37/E16</f>
        <v>0.03018014835747086</v>
      </c>
      <c r="G37" s="662"/>
      <c r="H37" s="656">
        <v>21360</v>
      </c>
      <c r="I37" s="658">
        <f>H37/H16</f>
        <v>0.027428131169644147</v>
      </c>
      <c r="J37" s="663"/>
      <c r="K37" s="656">
        <v>21360</v>
      </c>
      <c r="L37" s="658">
        <f>K37/K16</f>
        <v>0.02612202968537538</v>
      </c>
      <c r="M37" s="663"/>
      <c r="N37" s="656">
        <v>21360</v>
      </c>
      <c r="O37" s="658">
        <f>N37/N16</f>
        <v>0.024878123509881313</v>
      </c>
      <c r="P37" s="663"/>
      <c r="Q37" s="656">
        <v>21360</v>
      </c>
      <c r="R37" s="658">
        <f>Q37/Q16</f>
        <v>0.023693450961791724</v>
      </c>
      <c r="S37" s="659" t="s">
        <v>461</v>
      </c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2:42" s="168" customFormat="1" ht="15.75">
      <c r="B38" s="632" t="s">
        <v>462</v>
      </c>
      <c r="C38" s="655">
        <f t="shared" si="3"/>
        <v>200</v>
      </c>
      <c r="D38" s="661"/>
      <c r="E38" s="656">
        <v>2400</v>
      </c>
      <c r="F38" s="657">
        <f>E38/E16</f>
        <v>0.0033910279053338045</v>
      </c>
      <c r="G38" s="662"/>
      <c r="H38" s="656">
        <v>2400</v>
      </c>
      <c r="I38" s="658">
        <f>H38/H16</f>
        <v>0.0030818124909712525</v>
      </c>
      <c r="J38" s="663"/>
      <c r="K38" s="656">
        <v>2400</v>
      </c>
      <c r="L38" s="658">
        <f>K38/K16</f>
        <v>0.002935059515210717</v>
      </c>
      <c r="M38" s="663"/>
      <c r="N38" s="656">
        <v>2400</v>
      </c>
      <c r="O38" s="658">
        <f>N38/N16</f>
        <v>0.0027952947763911586</v>
      </c>
      <c r="P38" s="663"/>
      <c r="Q38" s="656">
        <v>2400</v>
      </c>
      <c r="R38" s="658">
        <f>Q38/Q16</f>
        <v>0.002662185501324913</v>
      </c>
      <c r="S38" s="660" t="s">
        <v>463</v>
      </c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2:42" s="394" customFormat="1" ht="15.75">
      <c r="B39" s="460" t="s">
        <v>343</v>
      </c>
      <c r="C39" s="439">
        <f t="shared" si="3"/>
        <v>400</v>
      </c>
      <c r="D39" s="456"/>
      <c r="E39" s="412">
        <v>4800</v>
      </c>
      <c r="F39" s="395">
        <f>E39/E16</f>
        <v>0.006782055810667609</v>
      </c>
      <c r="G39" s="457"/>
      <c r="H39" s="413">
        <f aca="true" t="shared" si="4" ref="H39:H44">E39+E39*0.05</f>
        <v>5040</v>
      </c>
      <c r="I39" s="414">
        <f>H39/H16</f>
        <v>0.00647180623103963</v>
      </c>
      <c r="J39" s="458"/>
      <c r="K39" s="413">
        <f aca="true" t="shared" si="5" ref="K39:K44">H39+H39*0.05</f>
        <v>5292</v>
      </c>
      <c r="L39" s="414">
        <f>K39/K16</f>
        <v>0.00647180623103963</v>
      </c>
      <c r="M39" s="458"/>
      <c r="N39" s="413">
        <f aca="true" t="shared" si="6" ref="N39:N44">K39+K39*0.05</f>
        <v>5556.6</v>
      </c>
      <c r="O39" s="414">
        <f>N39/N16</f>
        <v>0.00647180623103963</v>
      </c>
      <c r="P39" s="458"/>
      <c r="Q39" s="413">
        <f aca="true" t="shared" si="7" ref="Q39:Q44">N39+N39*0.05</f>
        <v>5834.43</v>
      </c>
      <c r="R39" s="414">
        <f>Q39/Q16</f>
        <v>0.00647180623103963</v>
      </c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6"/>
      <c r="AI39" s="416"/>
      <c r="AJ39" s="416"/>
      <c r="AK39" s="416"/>
      <c r="AL39" s="416"/>
      <c r="AM39" s="416"/>
      <c r="AN39" s="416"/>
      <c r="AO39" s="416"/>
      <c r="AP39" s="416"/>
    </row>
    <row r="40" spans="2:42" s="394" customFormat="1" ht="15.75">
      <c r="B40" s="460" t="s">
        <v>350</v>
      </c>
      <c r="C40" s="439">
        <f t="shared" si="3"/>
        <v>1250</v>
      </c>
      <c r="D40" s="456"/>
      <c r="E40" s="412">
        <v>15000</v>
      </c>
      <c r="F40" s="395">
        <f>E40/E16</f>
        <v>0.021193924408336277</v>
      </c>
      <c r="G40" s="457"/>
      <c r="H40" s="413">
        <f t="shared" si="4"/>
        <v>15750</v>
      </c>
      <c r="I40" s="414">
        <f>H40/H16</f>
        <v>0.020224394471998846</v>
      </c>
      <c r="J40" s="458"/>
      <c r="K40" s="413">
        <f t="shared" si="5"/>
        <v>16537.5</v>
      </c>
      <c r="L40" s="414">
        <f>K40/K16</f>
        <v>0.020224394471998846</v>
      </c>
      <c r="M40" s="458"/>
      <c r="N40" s="413">
        <f t="shared" si="6"/>
        <v>17364.375</v>
      </c>
      <c r="O40" s="414">
        <f>N40/N16</f>
        <v>0.020224394471998846</v>
      </c>
      <c r="P40" s="458"/>
      <c r="Q40" s="413">
        <f t="shared" si="7"/>
        <v>18232.59375</v>
      </c>
      <c r="R40" s="414">
        <f>Q40/Q16</f>
        <v>0.020224394471998842</v>
      </c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416"/>
      <c r="AJ40" s="416"/>
      <c r="AK40" s="416"/>
      <c r="AL40" s="416"/>
      <c r="AM40" s="416"/>
      <c r="AN40" s="416"/>
      <c r="AO40" s="416"/>
      <c r="AP40" s="416"/>
    </row>
    <row r="41" spans="2:42" s="394" customFormat="1" ht="15.75">
      <c r="B41" s="460" t="s">
        <v>351</v>
      </c>
      <c r="C41" s="439">
        <f t="shared" si="3"/>
        <v>208.33333333333334</v>
      </c>
      <c r="D41" s="456"/>
      <c r="E41" s="412">
        <v>2500</v>
      </c>
      <c r="F41" s="395">
        <f>E41/E16</f>
        <v>0.0035323207347227126</v>
      </c>
      <c r="G41" s="457"/>
      <c r="H41" s="413">
        <f t="shared" si="4"/>
        <v>2625</v>
      </c>
      <c r="I41" s="414">
        <f>H41/H16</f>
        <v>0.0033707324119998075</v>
      </c>
      <c r="J41" s="458"/>
      <c r="K41" s="413">
        <f t="shared" si="5"/>
        <v>2756.25</v>
      </c>
      <c r="L41" s="414">
        <f>K41/K16</f>
        <v>0.0033707324119998075</v>
      </c>
      <c r="M41" s="458"/>
      <c r="N41" s="413">
        <f t="shared" si="6"/>
        <v>2894.0625</v>
      </c>
      <c r="O41" s="414">
        <f>N41/N16</f>
        <v>0.0033707324119998075</v>
      </c>
      <c r="P41" s="458"/>
      <c r="Q41" s="413">
        <f t="shared" si="7"/>
        <v>3038.765625</v>
      </c>
      <c r="R41" s="414">
        <f>Q41/Q16</f>
        <v>0.0033707324119998075</v>
      </c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6"/>
      <c r="AL41" s="416"/>
      <c r="AM41" s="416"/>
      <c r="AN41" s="416"/>
      <c r="AO41" s="416"/>
      <c r="AP41" s="416"/>
    </row>
    <row r="42" spans="1:42" s="394" customFormat="1" ht="15.75">
      <c r="A42" s="122"/>
      <c r="B42" s="460" t="s">
        <v>538</v>
      </c>
      <c r="C42" s="439">
        <f t="shared" si="3"/>
        <v>284</v>
      </c>
      <c r="D42" s="456"/>
      <c r="E42" s="412">
        <v>3408</v>
      </c>
      <c r="F42" s="395">
        <f>E42/E16</f>
        <v>0.004815259625574002</v>
      </c>
      <c r="G42" s="457"/>
      <c r="H42" s="413">
        <f t="shared" si="4"/>
        <v>3578.4</v>
      </c>
      <c r="I42" s="414">
        <f>H42/H16</f>
        <v>0.004594982424038137</v>
      </c>
      <c r="J42" s="458"/>
      <c r="K42" s="413">
        <f t="shared" si="5"/>
        <v>3757.32</v>
      </c>
      <c r="L42" s="414">
        <f>K42/K16</f>
        <v>0.004594982424038138</v>
      </c>
      <c r="M42" s="458"/>
      <c r="N42" s="413">
        <f t="shared" si="6"/>
        <v>3945.186</v>
      </c>
      <c r="O42" s="414">
        <f>N42/N16</f>
        <v>0.004594982424038138</v>
      </c>
      <c r="P42" s="458"/>
      <c r="Q42" s="413">
        <f t="shared" si="7"/>
        <v>4142.4453</v>
      </c>
      <c r="R42" s="414">
        <f>Q42/Q16</f>
        <v>0.004594982424038138</v>
      </c>
      <c r="S42" s="452" t="s">
        <v>448</v>
      </c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6"/>
      <c r="AL42" s="416"/>
      <c r="AM42" s="416"/>
      <c r="AN42" s="416"/>
      <c r="AO42" s="416"/>
      <c r="AP42" s="416"/>
    </row>
    <row r="43" spans="2:42" s="394" customFormat="1" ht="15.75">
      <c r="B43" s="460" t="s">
        <v>345</v>
      </c>
      <c r="C43" s="439">
        <f t="shared" si="3"/>
        <v>125</v>
      </c>
      <c r="D43" s="456"/>
      <c r="E43" s="412">
        <v>1500</v>
      </c>
      <c r="F43" s="395">
        <f>E43/E16</f>
        <v>0.0021193924408336277</v>
      </c>
      <c r="G43" s="457"/>
      <c r="H43" s="413">
        <f t="shared" si="4"/>
        <v>1575</v>
      </c>
      <c r="I43" s="414">
        <f>H43/H16</f>
        <v>0.0020224394471998843</v>
      </c>
      <c r="J43" s="458"/>
      <c r="K43" s="413">
        <f t="shared" si="5"/>
        <v>1653.75</v>
      </c>
      <c r="L43" s="414">
        <f>K43/K16</f>
        <v>0.0020224394471998843</v>
      </c>
      <c r="M43" s="458"/>
      <c r="N43" s="413">
        <f t="shared" si="6"/>
        <v>1736.4375</v>
      </c>
      <c r="O43" s="414">
        <f>N43/N16</f>
        <v>0.0020224394471998843</v>
      </c>
      <c r="P43" s="458"/>
      <c r="Q43" s="413">
        <f t="shared" si="7"/>
        <v>1823.259375</v>
      </c>
      <c r="R43" s="414">
        <f>Q43/Q16</f>
        <v>0.0020224394471998843</v>
      </c>
      <c r="S43" s="452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</row>
    <row r="44" spans="2:42" s="394" customFormat="1" ht="15.75">
      <c r="B44" s="460" t="s">
        <v>422</v>
      </c>
      <c r="C44" s="439">
        <f t="shared" si="3"/>
        <v>200</v>
      </c>
      <c r="D44" s="456"/>
      <c r="E44" s="412">
        <v>2400</v>
      </c>
      <c r="F44" s="395">
        <f>E44/E16</f>
        <v>0.0033910279053338045</v>
      </c>
      <c r="G44" s="457"/>
      <c r="H44" s="413">
        <f t="shared" si="4"/>
        <v>2520</v>
      </c>
      <c r="I44" s="414">
        <f>H44/H16</f>
        <v>0.003235903115519815</v>
      </c>
      <c r="J44" s="458"/>
      <c r="K44" s="413">
        <f t="shared" si="5"/>
        <v>2646</v>
      </c>
      <c r="L44" s="414">
        <f>K44/K16</f>
        <v>0.003235903115519815</v>
      </c>
      <c r="M44" s="458"/>
      <c r="N44" s="413">
        <f t="shared" si="6"/>
        <v>2778.3</v>
      </c>
      <c r="O44" s="414">
        <f>N44/N16</f>
        <v>0.003235903115519815</v>
      </c>
      <c r="P44" s="458"/>
      <c r="Q44" s="413">
        <f t="shared" si="7"/>
        <v>2917.215</v>
      </c>
      <c r="R44" s="414">
        <f>Q44/Q16</f>
        <v>0.003235903115519815</v>
      </c>
      <c r="S44" s="452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6"/>
      <c r="AK44" s="416"/>
      <c r="AL44" s="416"/>
      <c r="AM44" s="416"/>
      <c r="AN44" s="416"/>
      <c r="AO44" s="416"/>
      <c r="AP44" s="416"/>
    </row>
    <row r="45" spans="2:42" s="394" customFormat="1" ht="15.75">
      <c r="B45" s="460" t="s">
        <v>369</v>
      </c>
      <c r="C45" s="439">
        <f>E45/12</f>
        <v>2162.9122666666667</v>
      </c>
      <c r="D45" s="456"/>
      <c r="E45" s="412">
        <f>E29*13.72%</f>
        <v>25954.947200000002</v>
      </c>
      <c r="F45" s="395">
        <f>E45/E16</f>
        <v>0.03667247926527729</v>
      </c>
      <c r="G45" s="457"/>
      <c r="H45" s="412">
        <f>H29*13.72%</f>
        <v>29848.189280000002</v>
      </c>
      <c r="I45" s="414">
        <f>H45/H16</f>
        <v>0.0383277177316576</v>
      </c>
      <c r="J45" s="458"/>
      <c r="K45" s="412">
        <f>K29*13.72%</f>
        <v>31340.598744000003</v>
      </c>
      <c r="L45" s="414">
        <f>K45/K16</f>
        <v>0.0383277177316576</v>
      </c>
      <c r="M45" s="458"/>
      <c r="N45" s="412">
        <f>N29*13.72%</f>
        <v>32907.6286812</v>
      </c>
      <c r="O45" s="414">
        <f>N45/N16</f>
        <v>0.0383277177316576</v>
      </c>
      <c r="P45" s="458"/>
      <c r="Q45" s="412">
        <f>Q29*13.72%</f>
        <v>34553.010115260004</v>
      </c>
      <c r="R45" s="414">
        <f>Q45/Q16</f>
        <v>0.0383277177316576</v>
      </c>
      <c r="S45" s="452" t="s">
        <v>372</v>
      </c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6"/>
      <c r="AI45" s="416"/>
      <c r="AJ45" s="416"/>
      <c r="AK45" s="416"/>
      <c r="AL45" s="416"/>
      <c r="AM45" s="416"/>
      <c r="AN45" s="416"/>
      <c r="AO45" s="416"/>
      <c r="AP45" s="416"/>
    </row>
    <row r="46" spans="2:42" s="668" customFormat="1" ht="15.75">
      <c r="B46" s="669" t="s">
        <v>423</v>
      </c>
      <c r="C46" s="670">
        <f>E46/12</f>
        <v>3686.1979166666665</v>
      </c>
      <c r="D46" s="701"/>
      <c r="E46" s="671">
        <f>E16*6.25%</f>
        <v>44234.375</v>
      </c>
      <c r="F46" s="672">
        <f>E46/E16</f>
        <v>0.0625</v>
      </c>
      <c r="G46" s="702"/>
      <c r="H46" s="671">
        <f>H16*6.25%</f>
        <v>48672.65625</v>
      </c>
      <c r="I46" s="673">
        <f>H46/H16</f>
        <v>0.0625</v>
      </c>
      <c r="J46" s="703"/>
      <c r="K46" s="671">
        <f>K16*6.25%</f>
        <v>51106.2890625</v>
      </c>
      <c r="L46" s="673">
        <f>K46/K16</f>
        <v>0.0625</v>
      </c>
      <c r="M46" s="703"/>
      <c r="N46" s="671">
        <f>N16*6.25%</f>
        <v>53661.603515625</v>
      </c>
      <c r="O46" s="673">
        <f>N46/N16</f>
        <v>0.0625</v>
      </c>
      <c r="P46" s="703"/>
      <c r="Q46" s="671">
        <f>Q16*6.25%</f>
        <v>56344.68369140625</v>
      </c>
      <c r="R46" s="673">
        <f>Q46/Q16</f>
        <v>0.0625</v>
      </c>
      <c r="S46" s="674"/>
      <c r="T46" s="692"/>
      <c r="U46" s="692"/>
      <c r="V46" s="692"/>
      <c r="W46" s="692"/>
      <c r="X46" s="692"/>
      <c r="Y46" s="692"/>
      <c r="Z46" s="692"/>
      <c r="AA46" s="692"/>
      <c r="AB46" s="692"/>
      <c r="AC46" s="692"/>
      <c r="AD46" s="692"/>
      <c r="AE46" s="692"/>
      <c r="AF46" s="692"/>
      <c r="AG46" s="692"/>
      <c r="AH46" s="692"/>
      <c r="AI46" s="692"/>
      <c r="AJ46" s="692"/>
      <c r="AK46" s="692"/>
      <c r="AL46" s="692"/>
      <c r="AM46" s="692"/>
      <c r="AN46" s="692"/>
      <c r="AO46" s="692"/>
      <c r="AP46" s="692"/>
    </row>
    <row r="47" spans="1:42" s="394" customFormat="1" ht="15.75">
      <c r="A47" s="477"/>
      <c r="B47" s="478" t="s">
        <v>370</v>
      </c>
      <c r="C47" s="439">
        <f>E47/12</f>
        <v>62.5</v>
      </c>
      <c r="D47" s="456"/>
      <c r="E47" s="412">
        <v>750</v>
      </c>
      <c r="F47" s="395">
        <f>E47/E16</f>
        <v>0.0010596962204168139</v>
      </c>
      <c r="G47" s="457"/>
      <c r="H47" s="413">
        <f>E47+E47*0.05</f>
        <v>787.5</v>
      </c>
      <c r="I47" s="414">
        <f>H47/H16</f>
        <v>0.0010112197235999422</v>
      </c>
      <c r="J47" s="458"/>
      <c r="K47" s="413">
        <f>H47+H47*0.05</f>
        <v>826.875</v>
      </c>
      <c r="L47" s="414">
        <f>K47/K16</f>
        <v>0.0010112197235999422</v>
      </c>
      <c r="M47" s="458"/>
      <c r="N47" s="413">
        <f>K47+K47*0.05</f>
        <v>868.21875</v>
      </c>
      <c r="O47" s="414">
        <f>N47/N16</f>
        <v>0.0010112197235999422</v>
      </c>
      <c r="P47" s="458"/>
      <c r="Q47" s="413">
        <f>N47+N47*0.05</f>
        <v>911.6296875</v>
      </c>
      <c r="R47" s="414">
        <f>Q47/Q16</f>
        <v>0.0010112197235999422</v>
      </c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6"/>
      <c r="AL47" s="416"/>
      <c r="AM47" s="416"/>
      <c r="AN47" s="416"/>
      <c r="AO47" s="416"/>
      <c r="AP47" s="416"/>
    </row>
    <row r="48" spans="1:42" s="185" customFormat="1" ht="12.75" customHeight="1">
      <c r="A48" s="168"/>
      <c r="B48" s="154" t="s">
        <v>102</v>
      </c>
      <c r="C48" s="655">
        <f t="shared" si="3"/>
        <v>579</v>
      </c>
      <c r="D48" s="661"/>
      <c r="E48" s="656">
        <v>6948</v>
      </c>
      <c r="F48" s="657">
        <f>E48/E16</f>
        <v>0.009817025785941364</v>
      </c>
      <c r="G48" s="662"/>
      <c r="H48" s="656">
        <v>6948</v>
      </c>
      <c r="I48" s="658">
        <f>H48/H16</f>
        <v>0.008921847161361776</v>
      </c>
      <c r="J48" s="663"/>
      <c r="K48" s="656">
        <v>6948</v>
      </c>
      <c r="L48" s="658">
        <f>K48/K16</f>
        <v>0.008496997296535025</v>
      </c>
      <c r="M48" s="663"/>
      <c r="N48" s="656">
        <v>6948</v>
      </c>
      <c r="O48" s="658">
        <f>N48/N16</f>
        <v>0.008092378377652405</v>
      </c>
      <c r="P48" s="663"/>
      <c r="Q48" s="656">
        <v>6948</v>
      </c>
      <c r="R48" s="658">
        <f>Q48/Q16</f>
        <v>0.007707027026335623</v>
      </c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</row>
    <row r="49" spans="1:42" s="185" customFormat="1" ht="14.25" customHeight="1" thickBot="1">
      <c r="A49" s="168"/>
      <c r="B49" s="154" t="s">
        <v>228</v>
      </c>
      <c r="C49" s="655">
        <f t="shared" si="3"/>
        <v>735.7841666666667</v>
      </c>
      <c r="D49" s="661"/>
      <c r="E49" s="656">
        <f>E67</f>
        <v>8829.41</v>
      </c>
      <c r="F49" s="657">
        <f>E49/E16</f>
        <v>0.012475323207347226</v>
      </c>
      <c r="G49" s="662"/>
      <c r="H49" s="656">
        <f>H67</f>
        <v>7750.01</v>
      </c>
      <c r="I49" s="658">
        <f>H49/H16</f>
        <v>0.009951699009646715</v>
      </c>
      <c r="J49" s="663"/>
      <c r="K49" s="656">
        <f>K67</f>
        <v>6584.59</v>
      </c>
      <c r="L49" s="658">
        <f>K49/K16</f>
        <v>0.00805256813885889</v>
      </c>
      <c r="M49" s="663"/>
      <c r="N49" s="656">
        <f>N67</f>
        <v>5325.23</v>
      </c>
      <c r="O49" s="658">
        <f>N49/N16</f>
        <v>0.006202328167533954</v>
      </c>
      <c r="P49" s="663"/>
      <c r="Q49" s="656">
        <f>Q67</f>
        <v>3964.73</v>
      </c>
      <c r="R49" s="658">
        <f>Q49/Q16</f>
        <v>0.004397852801111634</v>
      </c>
      <c r="S49" s="664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</row>
    <row r="50" spans="1:42" s="167" customFormat="1" ht="17.25" customHeight="1" thickBot="1">
      <c r="A50" s="166"/>
      <c r="B50" s="169" t="s">
        <v>226</v>
      </c>
      <c r="C50" s="170">
        <f>SUM(C29:C49)</f>
        <v>33629.18601666666</v>
      </c>
      <c r="D50" s="372"/>
      <c r="E50" s="170">
        <f>SUM(E29:E49)</f>
        <v>403550.23219999997</v>
      </c>
      <c r="F50" s="688">
        <f>E50/E16</f>
        <v>0.5701875410808901</v>
      </c>
      <c r="G50" s="364"/>
      <c r="H50" s="170">
        <f>SUM(H29:H49)</f>
        <v>445052.38053</v>
      </c>
      <c r="I50" s="688">
        <f>H50/H16</f>
        <v>0.5714866606057688</v>
      </c>
      <c r="J50" s="364"/>
      <c r="K50" s="170">
        <f>SUM(K29:K49)</f>
        <v>464216.6790565</v>
      </c>
      <c r="L50" s="688">
        <f>K50/K16</f>
        <v>0.5677098254101249</v>
      </c>
      <c r="M50" s="364"/>
      <c r="N50" s="170">
        <f>SUM(N29:N49)</f>
        <v>484303.5235093249</v>
      </c>
      <c r="O50" s="688">
        <f>N50/N16</f>
        <v>0.5640712956056035</v>
      </c>
      <c r="P50" s="364"/>
      <c r="Q50" s="170">
        <f>SUM(Q29:Q49)</f>
        <v>505356.53818479134</v>
      </c>
      <c r="R50" s="688">
        <f>Q50/Q16</f>
        <v>0.5605636870647088</v>
      </c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</row>
    <row r="51" spans="1:19" ht="12.75" customHeight="1" thickBot="1">
      <c r="A51" s="119"/>
      <c r="B51" s="20"/>
      <c r="C51" s="20"/>
      <c r="D51" s="373"/>
      <c r="E51" s="119"/>
      <c r="F51" s="689"/>
      <c r="G51" s="114"/>
      <c r="H51" s="119"/>
      <c r="I51" s="689"/>
      <c r="J51" s="114"/>
      <c r="K51" s="119"/>
      <c r="L51" s="689"/>
      <c r="M51" s="114"/>
      <c r="N51" s="119"/>
      <c r="O51" s="689"/>
      <c r="P51" s="114"/>
      <c r="Q51" s="119"/>
      <c r="R51" s="689"/>
      <c r="S51" s="198"/>
    </row>
    <row r="52" spans="1:42" s="182" customFormat="1" ht="16.5" thickBot="1">
      <c r="A52" s="180"/>
      <c r="B52" s="181" t="s">
        <v>230</v>
      </c>
      <c r="C52" s="183">
        <f>+C26-C50</f>
        <v>7591.313983333341</v>
      </c>
      <c r="D52" s="374"/>
      <c r="E52" s="183">
        <f>+E26-E50</f>
        <v>91095.76780000003</v>
      </c>
      <c r="F52" s="688">
        <f>E52/E16</f>
        <v>0.1287117877781703</v>
      </c>
      <c r="G52" s="364"/>
      <c r="H52" s="183">
        <f>+H26-H50</f>
        <v>99293.34446999995</v>
      </c>
      <c r="I52" s="688">
        <f>H52/H16</f>
        <v>0.12750144552414883</v>
      </c>
      <c r="J52" s="364"/>
      <c r="K52" s="183">
        <f>+K26-K50</f>
        <v>107346.33219349995</v>
      </c>
      <c r="L52" s="688">
        <f>K52/K16</f>
        <v>0.13127828071979272</v>
      </c>
      <c r="M52" s="364"/>
      <c r="N52" s="183">
        <f>+N26-N50</f>
        <v>115837.6383031751</v>
      </c>
      <c r="O52" s="688">
        <f>N52/N16</f>
        <v>0.13491681052431406</v>
      </c>
      <c r="P52" s="364"/>
      <c r="Q52" s="183">
        <f>+Q26-Q50</f>
        <v>124791.68171833362</v>
      </c>
      <c r="R52" s="688">
        <f>Q52/Q16</f>
        <v>0.13842441906520875</v>
      </c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</row>
    <row r="53" spans="2:18" s="198" customFormat="1" ht="15.75">
      <c r="B53" s="417"/>
      <c r="C53" s="417"/>
      <c r="D53" s="417"/>
      <c r="E53" s="418"/>
      <c r="F53" s="688"/>
      <c r="G53" s="161"/>
      <c r="H53" s="418"/>
      <c r="I53" s="688"/>
      <c r="J53" s="161"/>
      <c r="K53" s="418"/>
      <c r="L53" s="688"/>
      <c r="M53" s="161"/>
      <c r="N53" s="418"/>
      <c r="O53" s="688"/>
      <c r="P53" s="161"/>
      <c r="Q53" s="418"/>
      <c r="R53" s="400"/>
    </row>
    <row r="54" spans="2:18" s="198" customFormat="1" ht="15.75">
      <c r="B54" s="426" t="s">
        <v>426</v>
      </c>
      <c r="C54" s="417"/>
      <c r="D54" s="417"/>
      <c r="E54" s="418"/>
      <c r="F54" s="688"/>
      <c r="G54" s="161"/>
      <c r="H54" s="418"/>
      <c r="I54" s="688"/>
      <c r="J54" s="161"/>
      <c r="K54" s="418"/>
      <c r="L54" s="688"/>
      <c r="M54" s="161"/>
      <c r="N54" s="418"/>
      <c r="O54" s="400"/>
      <c r="P54" s="161"/>
      <c r="Q54" s="418"/>
      <c r="R54" s="400"/>
    </row>
    <row r="55" spans="2:18" s="198" customFormat="1" ht="15.75">
      <c r="B55" s="417" t="s">
        <v>427</v>
      </c>
      <c r="C55" s="417"/>
      <c r="D55" s="417"/>
      <c r="E55" s="481">
        <v>20000</v>
      </c>
      <c r="F55" s="688"/>
      <c r="G55" s="161"/>
      <c r="H55" s="418">
        <f>E59</f>
        <v>104608.01780000003</v>
      </c>
      <c r="I55" s="688"/>
      <c r="J55" s="161"/>
      <c r="K55" s="418">
        <f>H59</f>
        <v>196334.21227</v>
      </c>
      <c r="L55" s="688"/>
      <c r="M55" s="161"/>
      <c r="N55" s="418">
        <f>K59</f>
        <v>294947.9744634999</v>
      </c>
      <c r="O55" s="400"/>
      <c r="P55" s="161"/>
      <c r="Q55" s="418">
        <f>N59</f>
        <v>400793.682766675</v>
      </c>
      <c r="R55" s="400"/>
    </row>
    <row r="56" spans="2:18" s="198" customFormat="1" ht="15.75">
      <c r="B56" s="417" t="s">
        <v>428</v>
      </c>
      <c r="C56" s="417"/>
      <c r="D56" s="417"/>
      <c r="E56" s="418">
        <f>E52</f>
        <v>91095.76780000003</v>
      </c>
      <c r="F56" s="688"/>
      <c r="G56" s="161"/>
      <c r="H56" s="418">
        <f>H52</f>
        <v>99293.34446999995</v>
      </c>
      <c r="I56" s="688"/>
      <c r="J56" s="161"/>
      <c r="K56" s="418">
        <f>K52</f>
        <v>107346.33219349995</v>
      </c>
      <c r="L56" s="688"/>
      <c r="M56" s="161"/>
      <c r="N56" s="418">
        <f>N52</f>
        <v>115837.6383031751</v>
      </c>
      <c r="O56" s="400"/>
      <c r="P56" s="161"/>
      <c r="Q56" s="418">
        <f>Q52</f>
        <v>124791.68171833362</v>
      </c>
      <c r="R56" s="400"/>
    </row>
    <row r="57" spans="2:18" s="198" customFormat="1" ht="15.75">
      <c r="B57" s="417" t="s">
        <v>431</v>
      </c>
      <c r="C57" s="417"/>
      <c r="D57" s="417"/>
      <c r="E57" s="418">
        <f>E48</f>
        <v>6948</v>
      </c>
      <c r="F57" s="688"/>
      <c r="G57" s="161"/>
      <c r="H57" s="418">
        <f>H48</f>
        <v>6948</v>
      </c>
      <c r="I57" s="688"/>
      <c r="J57" s="161"/>
      <c r="K57" s="418">
        <f>K48</f>
        <v>6948</v>
      </c>
      <c r="L57" s="688"/>
      <c r="M57" s="161"/>
      <c r="N57" s="418">
        <f>N48</f>
        <v>6948</v>
      </c>
      <c r="O57" s="400"/>
      <c r="P57" s="161"/>
      <c r="Q57" s="418">
        <f>Q48</f>
        <v>6948</v>
      </c>
      <c r="R57" s="400"/>
    </row>
    <row r="58" spans="2:18" s="198" customFormat="1" ht="15.75">
      <c r="B58" s="417" t="s">
        <v>430</v>
      </c>
      <c r="C58" s="417"/>
      <c r="D58" s="417"/>
      <c r="E58" s="418">
        <f>-E68</f>
        <v>-13435.75</v>
      </c>
      <c r="F58" s="688"/>
      <c r="G58" s="161"/>
      <c r="H58" s="418">
        <f>-H68</f>
        <v>-14515.15</v>
      </c>
      <c r="I58" s="688"/>
      <c r="J58" s="161"/>
      <c r="K58" s="418">
        <f>-K68</f>
        <v>-15680.57</v>
      </c>
      <c r="L58" s="688"/>
      <c r="M58" s="161"/>
      <c r="N58" s="418">
        <f>-N68</f>
        <v>-16939.93</v>
      </c>
      <c r="O58" s="400"/>
      <c r="P58" s="161"/>
      <c r="Q58" s="418">
        <f>-Q68</f>
        <v>-18300.43</v>
      </c>
      <c r="R58" s="400"/>
    </row>
    <row r="59" spans="2:42" s="678" customFormat="1" ht="15.75">
      <c r="B59" s="679" t="s">
        <v>429</v>
      </c>
      <c r="C59" s="679"/>
      <c r="D59" s="679"/>
      <c r="E59" s="680">
        <f>SUM(E55:E58)</f>
        <v>104608.01780000003</v>
      </c>
      <c r="F59" s="690"/>
      <c r="G59" s="682"/>
      <c r="H59" s="680">
        <f>SUM(H55:H58)</f>
        <v>196334.21227</v>
      </c>
      <c r="I59" s="690"/>
      <c r="J59" s="682"/>
      <c r="K59" s="680">
        <f>SUM(K55:K58)</f>
        <v>294947.9744634999</v>
      </c>
      <c r="L59" s="690"/>
      <c r="M59" s="682"/>
      <c r="N59" s="680">
        <f>SUM(N55:N58)</f>
        <v>400793.682766675</v>
      </c>
      <c r="O59" s="681"/>
      <c r="P59" s="682"/>
      <c r="Q59" s="680">
        <f>SUM(Q55:Q58)</f>
        <v>514232.93448500865</v>
      </c>
      <c r="R59" s="681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</row>
    <row r="60" spans="1:19" ht="15.75">
      <c r="A60" s="119"/>
      <c r="B60" s="20"/>
      <c r="C60" s="20"/>
      <c r="D60" s="20"/>
      <c r="E60" s="119"/>
      <c r="F60" s="689"/>
      <c r="G60" s="119"/>
      <c r="H60" s="119"/>
      <c r="I60" s="689"/>
      <c r="J60" s="119"/>
      <c r="K60" s="119"/>
      <c r="L60" s="689"/>
      <c r="M60" s="119"/>
      <c r="N60" s="119"/>
      <c r="O60" s="689"/>
      <c r="P60" s="119"/>
      <c r="Q60" s="119"/>
      <c r="R60" s="398"/>
      <c r="S60" s="198"/>
    </row>
    <row r="61" spans="1:19" ht="15.75">
      <c r="A61" s="119"/>
      <c r="B61" s="38" t="s">
        <v>231</v>
      </c>
      <c r="C61" s="38"/>
      <c r="D61" s="38"/>
      <c r="E61" s="119"/>
      <c r="F61" s="689"/>
      <c r="G61" s="119"/>
      <c r="H61" s="119"/>
      <c r="I61" s="689"/>
      <c r="J61" s="119"/>
      <c r="K61" s="119"/>
      <c r="L61" s="689"/>
      <c r="M61" s="119"/>
      <c r="N61" s="119"/>
      <c r="O61" s="689"/>
      <c r="P61" s="119"/>
      <c r="Q61" s="119"/>
      <c r="R61" s="398"/>
      <c r="S61" s="198"/>
    </row>
    <row r="62" spans="1:42" s="185" customFormat="1" ht="16.5" thickBot="1">
      <c r="A62" s="168"/>
      <c r="B62" s="154" t="s">
        <v>232</v>
      </c>
      <c r="C62" s="154"/>
      <c r="D62" s="154"/>
      <c r="E62" s="184">
        <f>E69</f>
        <v>22265.16</v>
      </c>
      <c r="F62" s="688">
        <f>E62/E16</f>
        <v>0.0314590745319675</v>
      </c>
      <c r="G62" s="161"/>
      <c r="H62" s="184">
        <f>H69</f>
        <v>22265.16</v>
      </c>
      <c r="I62" s="688">
        <f>H62/H16</f>
        <v>0.028590436750613953</v>
      </c>
      <c r="J62" s="161"/>
      <c r="K62" s="184">
        <f>K69</f>
        <v>22265.16</v>
      </c>
      <c r="L62" s="688">
        <f>K62/K16</f>
        <v>0.0272289873815371</v>
      </c>
      <c r="M62" s="161"/>
      <c r="N62" s="184">
        <f>N69</f>
        <v>22265.16</v>
      </c>
      <c r="O62" s="688">
        <f>N62/N16</f>
        <v>0.025932368934797237</v>
      </c>
      <c r="P62" s="161"/>
      <c r="Q62" s="184">
        <f>Q69</f>
        <v>22265.16</v>
      </c>
      <c r="R62" s="688">
        <f>Q62/Q16</f>
        <v>0.024697494223616417</v>
      </c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</row>
    <row r="63" spans="1:42" s="196" customFormat="1" ht="16.5" thickBot="1">
      <c r="A63" s="193"/>
      <c r="B63" s="194" t="s">
        <v>233</v>
      </c>
      <c r="C63" s="194"/>
      <c r="D63" s="194"/>
      <c r="E63" s="195">
        <f>+E52/E62</f>
        <v>4.091404139920846</v>
      </c>
      <c r="F63" s="691"/>
      <c r="H63" s="197">
        <f>+H52/H62</f>
        <v>4.459583693537345</v>
      </c>
      <c r="I63" s="409"/>
      <c r="J63" s="197"/>
      <c r="K63" s="197">
        <f>+K52/K62</f>
        <v>4.821269292181146</v>
      </c>
      <c r="L63" s="409"/>
      <c r="M63" s="197"/>
      <c r="N63" s="197">
        <f>+N52/N62</f>
        <v>5.202641180354199</v>
      </c>
      <c r="O63" s="409"/>
      <c r="P63" s="197"/>
      <c r="Q63" s="197">
        <f>+Q52/Q62</f>
        <v>5.604796090319298</v>
      </c>
      <c r="R63" s="409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</row>
    <row r="64" spans="1:19" ht="15.75">
      <c r="A64" s="119"/>
      <c r="B64" s="20"/>
      <c r="C64" s="20"/>
      <c r="D64" s="20"/>
      <c r="E64" s="119"/>
      <c r="F64" s="398"/>
      <c r="G64" s="119"/>
      <c r="H64" s="119"/>
      <c r="I64" s="398"/>
      <c r="J64" s="119"/>
      <c r="K64" s="119"/>
      <c r="L64" s="398"/>
      <c r="M64" s="119"/>
      <c r="N64" s="119"/>
      <c r="O64" s="398"/>
      <c r="P64" s="119"/>
      <c r="Q64" s="119"/>
      <c r="R64" s="398"/>
      <c r="S64" s="198"/>
    </row>
    <row r="65" spans="1:19" ht="15.75">
      <c r="A65" s="119"/>
      <c r="B65" s="20"/>
      <c r="C65" s="20"/>
      <c r="D65" s="20"/>
      <c r="E65" s="119"/>
      <c r="F65" s="398"/>
      <c r="G65" s="119"/>
      <c r="H65" s="119"/>
      <c r="I65" s="398"/>
      <c r="J65" s="119"/>
      <c r="K65" s="119"/>
      <c r="L65" s="398"/>
      <c r="M65" s="119"/>
      <c r="N65" s="119"/>
      <c r="O65" s="398"/>
      <c r="P65" s="119"/>
      <c r="Q65" s="119"/>
      <c r="R65" s="398"/>
      <c r="S65" s="198"/>
    </row>
    <row r="66" spans="2:26" ht="15.75">
      <c r="B66" s="38" t="s">
        <v>175</v>
      </c>
      <c r="C66" s="38"/>
      <c r="D66" s="38"/>
      <c r="E66" s="119"/>
      <c r="F66" s="398"/>
      <c r="G66" s="119"/>
      <c r="H66" s="119"/>
      <c r="I66" s="398"/>
      <c r="J66" s="119"/>
      <c r="K66" s="119"/>
      <c r="L66" s="398"/>
      <c r="M66" s="119"/>
      <c r="N66" s="119"/>
      <c r="O66" s="398"/>
      <c r="P66" s="119"/>
      <c r="Q66" s="119"/>
      <c r="R66" s="398"/>
      <c r="S66" s="198"/>
      <c r="Z66" s="695"/>
    </row>
    <row r="67" spans="2:42" s="352" customFormat="1" ht="12.75">
      <c r="B67" s="521" t="s">
        <v>235</v>
      </c>
      <c r="C67" s="353"/>
      <c r="D67" s="353"/>
      <c r="E67" s="356">
        <v>8829.41</v>
      </c>
      <c r="F67" s="355"/>
      <c r="G67" s="355"/>
      <c r="H67" s="357">
        <v>7750.01</v>
      </c>
      <c r="I67" s="355"/>
      <c r="J67" s="355"/>
      <c r="K67" s="357">
        <v>6584.59</v>
      </c>
      <c r="L67" s="355"/>
      <c r="M67" s="355"/>
      <c r="N67" s="357">
        <v>5325.23</v>
      </c>
      <c r="O67" s="355"/>
      <c r="P67" s="355"/>
      <c r="Q67" s="352">
        <v>3964.73</v>
      </c>
      <c r="R67" s="355"/>
      <c r="S67" s="355">
        <f>+E67+H67+K67+N67+Q67</f>
        <v>32453.969999999998</v>
      </c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</row>
    <row r="68" spans="2:42" s="358" customFormat="1" ht="12.75">
      <c r="B68" s="522" t="s">
        <v>420</v>
      </c>
      <c r="C68" s="360"/>
      <c r="D68" s="360"/>
      <c r="E68" s="517">
        <v>13435.75</v>
      </c>
      <c r="F68" s="517"/>
      <c r="G68" s="517"/>
      <c r="H68" s="517">
        <v>14515.15</v>
      </c>
      <c r="I68" s="517"/>
      <c r="J68" s="517"/>
      <c r="K68" s="517">
        <v>15680.57</v>
      </c>
      <c r="L68" s="517"/>
      <c r="M68" s="517"/>
      <c r="N68" s="517">
        <v>16939.93</v>
      </c>
      <c r="O68" s="517"/>
      <c r="P68" s="517"/>
      <c r="Q68" s="518">
        <v>18300.43</v>
      </c>
      <c r="R68" s="517"/>
      <c r="S68" s="517">
        <f>+E68+H68+K68+N68+Q68</f>
        <v>78871.83</v>
      </c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</row>
    <row r="69" spans="2:42" s="358" customFormat="1" ht="12.75" thickBot="1">
      <c r="B69" s="520" t="s">
        <v>489</v>
      </c>
      <c r="C69" s="360"/>
      <c r="D69" s="360"/>
      <c r="E69" s="519">
        <f>SUM(E67:E68)</f>
        <v>22265.16</v>
      </c>
      <c r="F69" s="519"/>
      <c r="G69" s="519"/>
      <c r="H69" s="519">
        <f>SUM(H67:H68)</f>
        <v>22265.16</v>
      </c>
      <c r="I69" s="519"/>
      <c r="J69" s="519"/>
      <c r="K69" s="519">
        <f>SUM(K67:K68)</f>
        <v>22265.16</v>
      </c>
      <c r="L69" s="519"/>
      <c r="M69" s="519"/>
      <c r="N69" s="519">
        <f>SUM(N67:N68)</f>
        <v>22265.16</v>
      </c>
      <c r="O69" s="519"/>
      <c r="P69" s="519"/>
      <c r="Q69" s="519">
        <f>SUM(Q67:Q68)</f>
        <v>22265.16</v>
      </c>
      <c r="R69" s="519"/>
      <c r="S69" s="519">
        <f>SUM(S67:S68)</f>
        <v>111325.8</v>
      </c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</row>
    <row r="70" spans="2:42" s="358" customFormat="1" ht="12.75" thickTop="1">
      <c r="B70" s="359"/>
      <c r="C70" s="360"/>
      <c r="D70" s="360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R70" s="361"/>
      <c r="S70" s="355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</row>
    <row r="71" spans="2:42" s="358" customFormat="1" ht="12">
      <c r="B71" s="359"/>
      <c r="C71" s="360"/>
      <c r="D71" s="360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R71" s="361"/>
      <c r="S71" s="355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</row>
    <row r="72" spans="2:19" ht="12.75">
      <c r="B72" s="125" t="s">
        <v>552</v>
      </c>
      <c r="C72" s="226"/>
      <c r="D72" s="226"/>
      <c r="E72" s="225"/>
      <c r="F72" s="675"/>
      <c r="G72" s="82"/>
      <c r="H72" s="82"/>
      <c r="I72" s="403"/>
      <c r="J72" s="82"/>
      <c r="K72" s="82"/>
      <c r="L72" s="403"/>
      <c r="M72" s="82"/>
      <c r="N72" s="82"/>
      <c r="O72" s="403"/>
      <c r="P72" s="82"/>
      <c r="Q72" s="82"/>
      <c r="R72" s="403"/>
      <c r="S72" s="202"/>
    </row>
    <row r="73" spans="2:42" s="250" customFormat="1" ht="12.75">
      <c r="B73" s="226" t="s">
        <v>551</v>
      </c>
      <c r="C73" s="226"/>
      <c r="D73" s="226"/>
      <c r="E73" s="226"/>
      <c r="F73" s="676"/>
      <c r="I73" s="504"/>
      <c r="L73" s="504"/>
      <c r="O73" s="504"/>
      <c r="R73" s="504"/>
      <c r="T73" s="696"/>
      <c r="U73" s="696"/>
      <c r="V73" s="696"/>
      <c r="W73" s="696"/>
      <c r="X73" s="696"/>
      <c r="Y73" s="696"/>
      <c r="Z73" s="696"/>
      <c r="AA73" s="696"/>
      <c r="AB73" s="696"/>
      <c r="AC73" s="696"/>
      <c r="AD73" s="696"/>
      <c r="AE73" s="696"/>
      <c r="AF73" s="696"/>
      <c r="AG73" s="696"/>
      <c r="AH73" s="696"/>
      <c r="AI73" s="696"/>
      <c r="AJ73" s="696"/>
      <c r="AK73" s="696"/>
      <c r="AL73" s="696"/>
      <c r="AM73" s="696"/>
      <c r="AN73" s="696"/>
      <c r="AO73" s="696"/>
      <c r="AP73" s="696"/>
    </row>
    <row r="74" spans="2:42" s="250" customFormat="1" ht="12.75">
      <c r="B74" s="226" t="s">
        <v>237</v>
      </c>
      <c r="C74" s="226"/>
      <c r="D74" s="226"/>
      <c r="E74" s="226"/>
      <c r="F74" s="676"/>
      <c r="I74" s="504"/>
      <c r="L74" s="504"/>
      <c r="O74" s="504"/>
      <c r="R74" s="504"/>
      <c r="T74" s="696"/>
      <c r="U74" s="696"/>
      <c r="V74" s="696"/>
      <c r="W74" s="696"/>
      <c r="X74" s="696"/>
      <c r="Y74" s="696"/>
      <c r="Z74" s="696"/>
      <c r="AA74" s="696"/>
      <c r="AB74" s="696"/>
      <c r="AC74" s="696"/>
      <c r="AD74" s="696"/>
      <c r="AE74" s="696"/>
      <c r="AF74" s="696"/>
      <c r="AG74" s="696"/>
      <c r="AH74" s="696"/>
      <c r="AI74" s="696"/>
      <c r="AJ74" s="696"/>
      <c r="AK74" s="696"/>
      <c r="AL74" s="696"/>
      <c r="AM74" s="696"/>
      <c r="AN74" s="696"/>
      <c r="AO74" s="696"/>
      <c r="AP74" s="696"/>
    </row>
    <row r="75" spans="2:42" s="250" customFormat="1" ht="12.75">
      <c r="B75" s="226" t="s">
        <v>425</v>
      </c>
      <c r="C75" s="226"/>
      <c r="D75" s="226"/>
      <c r="E75" s="226"/>
      <c r="F75" s="676"/>
      <c r="I75" s="504"/>
      <c r="L75" s="504"/>
      <c r="O75" s="504"/>
      <c r="R75" s="504"/>
      <c r="T75" s="696"/>
      <c r="U75" s="696"/>
      <c r="V75" s="696"/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696"/>
      <c r="AL75" s="696"/>
      <c r="AM75" s="696"/>
      <c r="AN75" s="696"/>
      <c r="AO75" s="696"/>
      <c r="AP75" s="696"/>
    </row>
    <row r="76" spans="2:42" s="250" customFormat="1" ht="12.75">
      <c r="B76" s="226" t="s">
        <v>547</v>
      </c>
      <c r="C76" s="226"/>
      <c r="D76" s="226"/>
      <c r="E76" s="226"/>
      <c r="F76" s="676"/>
      <c r="I76" s="504"/>
      <c r="L76" s="504"/>
      <c r="O76" s="504"/>
      <c r="R76" s="504"/>
      <c r="T76" s="696"/>
      <c r="U76" s="696"/>
      <c r="V76" s="696"/>
      <c r="W76" s="696"/>
      <c r="X76" s="696"/>
      <c r="Y76" s="696"/>
      <c r="Z76" s="696"/>
      <c r="AA76" s="696"/>
      <c r="AB76" s="696"/>
      <c r="AC76" s="696"/>
      <c r="AD76" s="696"/>
      <c r="AE76" s="696"/>
      <c r="AF76" s="696"/>
      <c r="AG76" s="696"/>
      <c r="AH76" s="696"/>
      <c r="AI76" s="696"/>
      <c r="AJ76" s="696"/>
      <c r="AK76" s="696"/>
      <c r="AL76" s="696"/>
      <c r="AM76" s="696"/>
      <c r="AN76" s="696"/>
      <c r="AO76" s="696"/>
      <c r="AP76" s="696"/>
    </row>
    <row r="77" spans="2:18" ht="12.75">
      <c r="B77" s="677" t="s">
        <v>367</v>
      </c>
      <c r="C77" s="226"/>
      <c r="D77" s="226"/>
      <c r="E77" s="226"/>
      <c r="F77" s="676"/>
      <c r="I77" s="397"/>
      <c r="L77" s="397"/>
      <c r="O77" s="397"/>
      <c r="R77" s="397"/>
    </row>
    <row r="78" spans="2:18" ht="12.75">
      <c r="B78" s="226"/>
      <c r="C78" s="226"/>
      <c r="D78" s="226"/>
      <c r="E78" s="226"/>
      <c r="F78" s="676"/>
      <c r="I78" s="397"/>
      <c r="L78" s="397"/>
      <c r="O78" s="397"/>
      <c r="R78" s="397"/>
    </row>
    <row r="79" spans="2:18" ht="12.75">
      <c r="B79" s="201" t="s">
        <v>493</v>
      </c>
      <c r="C79" s="226"/>
      <c r="D79" s="226"/>
      <c r="E79" s="226"/>
      <c r="F79" s="676"/>
      <c r="I79" s="397"/>
      <c r="L79" s="397"/>
      <c r="O79" s="397"/>
      <c r="R79" s="397"/>
    </row>
    <row r="80" spans="2:18" ht="12.75">
      <c r="B80" s="226" t="s">
        <v>494</v>
      </c>
      <c r="C80" s="226"/>
      <c r="D80" s="226"/>
      <c r="E80" s="226"/>
      <c r="F80" s="676"/>
      <c r="I80" s="397"/>
      <c r="L80" s="397"/>
      <c r="O80" s="397"/>
      <c r="R80" s="397"/>
    </row>
    <row r="81" spans="2:18" ht="12.75">
      <c r="B81" s="226" t="s">
        <v>471</v>
      </c>
      <c r="C81" s="226"/>
      <c r="D81" s="226"/>
      <c r="E81" s="226"/>
      <c r="F81" s="676"/>
      <c r="I81" s="397"/>
      <c r="L81" s="397"/>
      <c r="O81" s="397"/>
      <c r="R81" s="397"/>
    </row>
    <row r="82" spans="2:18" ht="12.75">
      <c r="B82" s="307" t="s">
        <v>496</v>
      </c>
      <c r="C82" s="226"/>
      <c r="D82" s="226"/>
      <c r="E82" s="226"/>
      <c r="F82" s="676"/>
      <c r="I82" s="397"/>
      <c r="L82" s="397"/>
      <c r="O82" s="397"/>
      <c r="R82" s="397"/>
    </row>
    <row r="83" spans="2:18" ht="12.75">
      <c r="B83" s="226" t="s">
        <v>492</v>
      </c>
      <c r="C83" s="226"/>
      <c r="D83" s="226"/>
      <c r="E83" s="226"/>
      <c r="F83" s="676"/>
      <c r="I83" s="397"/>
      <c r="L83" s="397"/>
      <c r="O83" s="397"/>
      <c r="R83" s="397"/>
    </row>
    <row r="84" spans="2:18" ht="12.75">
      <c r="B84" s="226"/>
      <c r="C84" s="226"/>
      <c r="D84" s="226"/>
      <c r="E84" s="226"/>
      <c r="F84" s="676"/>
      <c r="I84" s="397"/>
      <c r="L84" s="397"/>
      <c r="O84" s="397"/>
      <c r="R84" s="397"/>
    </row>
    <row r="85" spans="2:6" ht="12.75">
      <c r="B85" s="125" t="s">
        <v>495</v>
      </c>
      <c r="C85" s="226"/>
      <c r="D85" s="226"/>
      <c r="E85" s="226"/>
      <c r="F85" s="226"/>
    </row>
    <row r="86" spans="2:6" ht="12.75">
      <c r="B86" s="226" t="s">
        <v>549</v>
      </c>
      <c r="C86" s="226"/>
      <c r="D86" s="226"/>
      <c r="E86" s="226"/>
      <c r="F86" s="226"/>
    </row>
    <row r="87" spans="2:6" ht="12.75">
      <c r="B87" s="226" t="s">
        <v>548</v>
      </c>
      <c r="C87" s="226"/>
      <c r="D87" s="226"/>
      <c r="E87" s="226"/>
      <c r="F87" s="226"/>
    </row>
    <row r="88" spans="2:6" ht="12.75">
      <c r="B88" s="676" t="s">
        <v>550</v>
      </c>
      <c r="C88" s="225"/>
      <c r="D88" s="226"/>
      <c r="E88" s="226"/>
      <c r="F88" s="226"/>
    </row>
    <row r="89" spans="2:6" ht="12.75">
      <c r="B89" s="226" t="s">
        <v>490</v>
      </c>
      <c r="C89" s="226"/>
      <c r="D89" s="226"/>
      <c r="E89" s="226"/>
      <c r="F89" s="226"/>
    </row>
    <row r="90" spans="2:6" ht="12.75">
      <c r="B90" s="226" t="s">
        <v>491</v>
      </c>
      <c r="C90" s="226"/>
      <c r="D90" s="226"/>
      <c r="E90" s="226"/>
      <c r="F90" s="226"/>
    </row>
  </sheetData>
  <sheetProtection/>
  <printOptions/>
  <pageMargins left="0.17" right="0.17" top="0.61" bottom="1" header="0.5" footer="0.5"/>
  <pageSetup horizontalDpi="600" verticalDpi="600" orientation="landscape" paperSize="3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7"/>
  <sheetViews>
    <sheetView zoomScalePageLayoutView="0" workbookViewId="0" topLeftCell="A1">
      <selection activeCell="A2" sqref="A2:B5"/>
    </sheetView>
  </sheetViews>
  <sheetFormatPr defaultColWidth="11.421875" defaultRowHeight="12.75"/>
  <cols>
    <col min="1" max="1" width="8.8515625" style="0" customWidth="1"/>
    <col min="2" max="2" width="54.00390625" style="0" customWidth="1"/>
    <col min="3" max="3" width="10.7109375" style="0" customWidth="1"/>
    <col min="4" max="4" width="0.85546875" style="0" customWidth="1"/>
    <col min="5" max="5" width="11.421875" style="0" customWidth="1"/>
    <col min="6" max="6" width="6.421875" style="397" customWidth="1"/>
    <col min="7" max="7" width="1.1484375" style="0" customWidth="1"/>
    <col min="8" max="8" width="12.140625" style="0" customWidth="1"/>
    <col min="9" max="9" width="7.00390625" style="397" customWidth="1"/>
    <col min="10" max="10" width="1.1484375" style="0" customWidth="1"/>
    <col min="11" max="11" width="10.140625" style="0" customWidth="1"/>
    <col min="12" max="12" width="7.00390625" style="397" customWidth="1"/>
    <col min="13" max="13" width="0.9921875" style="0" customWidth="1"/>
    <col min="14" max="14" width="10.421875" style="0" customWidth="1"/>
    <col min="15" max="15" width="6.8515625" style="397" customWidth="1"/>
    <col min="16" max="16" width="0.9921875" style="0" customWidth="1"/>
    <col min="17" max="17" width="11.28125" style="0" customWidth="1"/>
    <col min="18" max="18" width="5.7109375" style="397" customWidth="1"/>
    <col min="19" max="19" width="19.7109375" style="0" customWidth="1"/>
    <col min="20" max="21" width="17.7109375" style="0" customWidth="1"/>
    <col min="22" max="22" width="16.140625" style="0" customWidth="1"/>
    <col min="23" max="23" width="19.00390625" style="0" customWidth="1"/>
    <col min="24" max="24" width="15.8515625" style="0" customWidth="1"/>
    <col min="25" max="25" width="15.421875" style="0" customWidth="1"/>
    <col min="26" max="26" width="12.00390625" style="0" customWidth="1"/>
    <col min="27" max="16384" width="8.8515625" style="0" customWidth="1"/>
  </cols>
  <sheetData>
    <row r="1" spans="1:18" ht="12.75">
      <c r="A1" s="119"/>
      <c r="B1" s="119"/>
      <c r="C1" s="119"/>
      <c r="D1" s="119"/>
      <c r="E1" s="119"/>
      <c r="F1" s="398"/>
      <c r="G1" s="119"/>
      <c r="H1" s="119"/>
      <c r="I1" s="398"/>
      <c r="J1" s="119"/>
      <c r="K1" s="119"/>
      <c r="L1" s="398"/>
      <c r="M1" s="119"/>
      <c r="N1" s="119"/>
      <c r="O1" s="398"/>
      <c r="P1" s="119"/>
      <c r="Q1" s="119"/>
      <c r="R1" s="398"/>
    </row>
    <row r="2" spans="1:18" ht="15.75">
      <c r="A2" s="251"/>
      <c r="B2" s="4"/>
      <c r="C2" s="4"/>
      <c r="D2" s="4"/>
      <c r="E2" s="4"/>
      <c r="G2" s="4"/>
      <c r="I2" s="398"/>
      <c r="J2" s="119"/>
      <c r="K2" s="119"/>
      <c r="L2" s="398"/>
      <c r="M2" s="119"/>
      <c r="N2" s="119"/>
      <c r="O2" s="398"/>
      <c r="P2" s="119"/>
      <c r="Q2" s="119"/>
      <c r="R2" s="398"/>
    </row>
    <row r="3" spans="1:18" ht="15.75">
      <c r="A3" s="442"/>
      <c r="B3" s="443"/>
      <c r="C3" s="4"/>
      <c r="D3" s="4"/>
      <c r="E3" s="447" t="s">
        <v>440</v>
      </c>
      <c r="F3" s="445"/>
      <c r="G3" s="444"/>
      <c r="H3" s="446"/>
      <c r="I3" s="445"/>
      <c r="J3" s="119"/>
      <c r="K3" s="119"/>
      <c r="L3" s="398"/>
      <c r="M3" s="119"/>
      <c r="N3" s="119"/>
      <c r="O3" s="398"/>
      <c r="P3" s="119"/>
      <c r="Q3" s="119"/>
      <c r="R3" s="398"/>
    </row>
    <row r="4" spans="1:18" ht="15.75">
      <c r="A4" s="442"/>
      <c r="B4" s="443"/>
      <c r="C4" s="4"/>
      <c r="D4" s="4"/>
      <c r="E4" s="4"/>
      <c r="G4" s="4"/>
      <c r="H4" s="308"/>
      <c r="I4" s="398"/>
      <c r="J4" s="119"/>
      <c r="K4" s="119"/>
      <c r="L4" s="398"/>
      <c r="M4" s="119"/>
      <c r="N4" s="119"/>
      <c r="O4" s="398"/>
      <c r="P4" s="119"/>
      <c r="Q4" s="119"/>
      <c r="R4" s="398"/>
    </row>
    <row r="5" spans="1:18" ht="19.5">
      <c r="A5" s="449"/>
      <c r="B5" s="448"/>
      <c r="C5" s="110"/>
      <c r="D5" s="110"/>
      <c r="E5" s="4"/>
      <c r="G5" s="4"/>
      <c r="I5" s="398"/>
      <c r="J5" s="119"/>
      <c r="K5" s="119"/>
      <c r="L5" s="398"/>
      <c r="M5" s="119"/>
      <c r="N5" s="119"/>
      <c r="O5" s="398"/>
      <c r="P5" s="119"/>
      <c r="Q5" s="119"/>
      <c r="R5" s="398"/>
    </row>
    <row r="6" spans="1:18" ht="19.5">
      <c r="A6" s="449"/>
      <c r="B6" s="448"/>
      <c r="C6" s="110"/>
      <c r="D6" s="110"/>
      <c r="E6" s="4"/>
      <c r="G6" s="4"/>
      <c r="I6" s="398"/>
      <c r="J6" s="119"/>
      <c r="K6" s="119"/>
      <c r="L6" s="398"/>
      <c r="M6" s="119"/>
      <c r="N6" s="119"/>
      <c r="O6" s="398"/>
      <c r="P6" s="119"/>
      <c r="Q6" s="119"/>
      <c r="R6" s="398"/>
    </row>
    <row r="7" spans="1:18" ht="19.5">
      <c r="A7" s="109" t="s">
        <v>299</v>
      </c>
      <c r="B7" s="110"/>
      <c r="C7" s="110"/>
      <c r="D7" s="110"/>
      <c r="E7" s="4"/>
      <c r="G7" s="4"/>
      <c r="I7" s="404"/>
      <c r="J7" s="128"/>
      <c r="K7" s="128"/>
      <c r="L7" s="404"/>
      <c r="M7" s="128"/>
      <c r="N7" s="119"/>
      <c r="O7" s="398"/>
      <c r="P7" s="119"/>
      <c r="Q7" s="119"/>
      <c r="R7" s="398"/>
    </row>
    <row r="8" spans="1:18" ht="19.5">
      <c r="A8" s="109"/>
      <c r="B8" s="110" t="s">
        <v>300</v>
      </c>
      <c r="C8" s="440" t="s">
        <v>432</v>
      </c>
      <c r="D8" s="3"/>
      <c r="E8" s="4"/>
      <c r="G8" s="4"/>
      <c r="H8" s="128" t="s">
        <v>236</v>
      </c>
      <c r="I8" s="404"/>
      <c r="J8" s="128"/>
      <c r="K8" s="192" t="s">
        <v>301</v>
      </c>
      <c r="L8" s="404"/>
      <c r="M8" s="128"/>
      <c r="N8" s="119"/>
      <c r="O8" s="398"/>
      <c r="P8" s="119"/>
      <c r="Q8" s="119"/>
      <c r="R8" s="398"/>
    </row>
    <row r="9" spans="1:18" ht="15.75">
      <c r="A9" s="4"/>
      <c r="B9" s="4"/>
      <c r="C9" s="3" t="s">
        <v>340</v>
      </c>
      <c r="D9" s="3"/>
      <c r="E9" s="162" t="s">
        <v>220</v>
      </c>
      <c r="G9" s="156"/>
      <c r="H9" s="162" t="s">
        <v>221</v>
      </c>
      <c r="I9" s="405"/>
      <c r="J9" s="162"/>
      <c r="K9" s="162" t="s">
        <v>222</v>
      </c>
      <c r="L9" s="405"/>
      <c r="M9" s="162"/>
      <c r="N9" s="162" t="s">
        <v>223</v>
      </c>
      <c r="O9" s="405"/>
      <c r="P9" s="162"/>
      <c r="Q9" s="162" t="s">
        <v>298</v>
      </c>
      <c r="R9" s="405"/>
    </row>
    <row r="10" spans="1:19" ht="15.75">
      <c r="A10" s="119"/>
      <c r="B10" s="56" t="s">
        <v>155</v>
      </c>
      <c r="C10" s="56"/>
      <c r="D10" s="366"/>
      <c r="E10" s="11"/>
      <c r="F10" s="399" t="s">
        <v>218</v>
      </c>
      <c r="G10" s="363"/>
      <c r="H10" s="119"/>
      <c r="I10" s="399" t="s">
        <v>218</v>
      </c>
      <c r="J10" s="363"/>
      <c r="K10" s="119"/>
      <c r="L10" s="399" t="s">
        <v>218</v>
      </c>
      <c r="M10" s="363"/>
      <c r="N10" s="119"/>
      <c r="O10" s="399" t="s">
        <v>218</v>
      </c>
      <c r="P10" s="363"/>
      <c r="Q10" s="119"/>
      <c r="R10" s="399" t="s">
        <v>218</v>
      </c>
      <c r="S10" s="160"/>
    </row>
    <row r="11" spans="1:18" ht="15.75">
      <c r="A11" s="119"/>
      <c r="B11" s="12" t="s">
        <v>18</v>
      </c>
      <c r="C11" s="464">
        <f>E11/12</f>
        <v>45833.333333333336</v>
      </c>
      <c r="D11" s="367"/>
      <c r="E11" s="247">
        <v>550000</v>
      </c>
      <c r="F11" s="400">
        <f>E11/E16</f>
        <v>0.6711409395973155</v>
      </c>
      <c r="G11" s="364"/>
      <c r="H11" s="191">
        <f>+E11+E11*0.1</f>
        <v>605000</v>
      </c>
      <c r="I11" s="406">
        <f>H11/H16</f>
        <v>0.6709362610551998</v>
      </c>
      <c r="J11" s="375"/>
      <c r="K11" s="191">
        <f>+H11+H11*0.05</f>
        <v>635250</v>
      </c>
      <c r="L11" s="406">
        <f>K11/K16</f>
        <v>0.6709362610551998</v>
      </c>
      <c r="M11" s="375"/>
      <c r="N11" s="191">
        <f>+K11+K11*0.05</f>
        <v>667012.5</v>
      </c>
      <c r="O11" s="406">
        <f>N11/N16</f>
        <v>0.6709362610551998</v>
      </c>
      <c r="P11" s="375"/>
      <c r="Q11" s="165">
        <f>+N11+N11*0.05</f>
        <v>700363.125</v>
      </c>
      <c r="R11" s="406">
        <f>Q11/Q16</f>
        <v>0.6709362610551998</v>
      </c>
    </row>
    <row r="12" spans="1:18" ht="15.75">
      <c r="A12" s="119"/>
      <c r="B12" s="12" t="s">
        <v>304</v>
      </c>
      <c r="C12" s="464">
        <f>E12/12</f>
        <v>16041.666666666666</v>
      </c>
      <c r="D12" s="367"/>
      <c r="E12" s="247">
        <f>E11*0.35</f>
        <v>192500</v>
      </c>
      <c r="F12" s="400">
        <f>E12/E16</f>
        <v>0.2348993288590604</v>
      </c>
      <c r="G12" s="364"/>
      <c r="H12" s="191">
        <f>+E12+E12*0.1</f>
        <v>211750</v>
      </c>
      <c r="I12" s="406">
        <f>H12/H16</f>
        <v>0.2348276913693199</v>
      </c>
      <c r="J12" s="375"/>
      <c r="K12" s="191">
        <f>+H12+H12*0.05</f>
        <v>222337.5</v>
      </c>
      <c r="L12" s="406">
        <f>K12/K16</f>
        <v>0.2348276913693199</v>
      </c>
      <c r="M12" s="375"/>
      <c r="N12" s="191">
        <f>+K12+K12*0.05</f>
        <v>233454.375</v>
      </c>
      <c r="O12" s="406">
        <f>N12/N16</f>
        <v>0.2348276913693199</v>
      </c>
      <c r="P12" s="375"/>
      <c r="Q12" s="165">
        <f>+N12+N12*0.05</f>
        <v>245127.09375</v>
      </c>
      <c r="R12" s="406">
        <f>Q12/Q16</f>
        <v>0.2348276913693199</v>
      </c>
    </row>
    <row r="13" spans="1:18" ht="15.75">
      <c r="A13" s="119"/>
      <c r="B13" s="12" t="s">
        <v>305</v>
      </c>
      <c r="C13" s="464">
        <f>E13/12</f>
        <v>5500</v>
      </c>
      <c r="D13" s="367"/>
      <c r="E13" s="247">
        <f>E11*0.12</f>
        <v>66000</v>
      </c>
      <c r="F13" s="400">
        <f>E13/E16</f>
        <v>0.08053691275167785</v>
      </c>
      <c r="G13" s="364"/>
      <c r="H13" s="191">
        <f>+E13+E13*0.1</f>
        <v>72600</v>
      </c>
      <c r="I13" s="406">
        <f>H13/H16</f>
        <v>0.08051235132662397</v>
      </c>
      <c r="J13" s="375"/>
      <c r="K13" s="191">
        <f>+H13+H13*0.05</f>
        <v>76230</v>
      </c>
      <c r="L13" s="406">
        <f>K13/K16</f>
        <v>0.08051235132662397</v>
      </c>
      <c r="M13" s="375"/>
      <c r="N13" s="191">
        <f>+K13+K13*0.05</f>
        <v>80041.5</v>
      </c>
      <c r="O13" s="406">
        <f>N13/N16</f>
        <v>0.08051235132662397</v>
      </c>
      <c r="P13" s="375"/>
      <c r="Q13" s="165">
        <f>+N13+N13*0.05</f>
        <v>84043.575</v>
      </c>
      <c r="R13" s="406">
        <f>Q13/Q16</f>
        <v>0.08051235132662397</v>
      </c>
    </row>
    <row r="14" spans="1:18" ht="15.75">
      <c r="A14" s="119"/>
      <c r="B14" s="14" t="s">
        <v>303</v>
      </c>
      <c r="C14" s="464">
        <f>E14/12</f>
        <v>1375</v>
      </c>
      <c r="D14" s="367"/>
      <c r="E14" s="248">
        <f>E11*0.03</f>
        <v>16500</v>
      </c>
      <c r="F14" s="400">
        <f>E14/E16</f>
        <v>0.020134228187919462</v>
      </c>
      <c r="G14" s="364"/>
      <c r="H14" s="191">
        <f>+E14+E14*0.1</f>
        <v>18150</v>
      </c>
      <c r="I14" s="406">
        <f>H14/H16</f>
        <v>0.020128087831655993</v>
      </c>
      <c r="J14" s="375"/>
      <c r="K14" s="191">
        <f>+H14+H14*0.05</f>
        <v>19057.5</v>
      </c>
      <c r="L14" s="406">
        <f>K14/K16</f>
        <v>0.020128087831655993</v>
      </c>
      <c r="M14" s="375"/>
      <c r="N14" s="191">
        <f>+K14+K14*0.05</f>
        <v>20010.375</v>
      </c>
      <c r="O14" s="406">
        <f>N14/N16</f>
        <v>0.020128087831655993</v>
      </c>
      <c r="P14" s="375"/>
      <c r="Q14" s="165">
        <f>+N14+N14*0.05</f>
        <v>21010.89375</v>
      </c>
      <c r="R14" s="406">
        <f>Q14/Q16</f>
        <v>0.020128087831655993</v>
      </c>
    </row>
    <row r="15" spans="1:19" ht="15.75">
      <c r="A15" s="119"/>
      <c r="B15" s="12" t="s">
        <v>30</v>
      </c>
      <c r="C15" s="464">
        <f>E15/12</f>
        <v>-458.3333333333333</v>
      </c>
      <c r="D15" s="367"/>
      <c r="E15" s="159">
        <f>-E11*0.01</f>
        <v>-5500</v>
      </c>
      <c r="F15" s="400">
        <f>E15/E16</f>
        <v>-0.006711409395973154</v>
      </c>
      <c r="G15" s="364"/>
      <c r="H15" s="191">
        <f>+E15+E15*0.05</f>
        <v>-5775</v>
      </c>
      <c r="I15" s="406">
        <f>H15/H16</f>
        <v>-0.006404391582799634</v>
      </c>
      <c r="J15" s="375"/>
      <c r="K15" s="191">
        <f>+H15+H15*0.05</f>
        <v>-6063.75</v>
      </c>
      <c r="L15" s="406">
        <f>K15/K16</f>
        <v>-0.006404391582799634</v>
      </c>
      <c r="M15" s="375"/>
      <c r="N15" s="191">
        <f>+K15+K15*0.05</f>
        <v>-6366.9375</v>
      </c>
      <c r="O15" s="406">
        <f>N15/N16</f>
        <v>-0.006404391582799634</v>
      </c>
      <c r="P15" s="375"/>
      <c r="Q15" s="165">
        <f>+N15+N15*0.05</f>
        <v>-6685.284375</v>
      </c>
      <c r="R15" s="406">
        <f>Q15/Q16</f>
        <v>-0.006404391582799635</v>
      </c>
      <c r="S15" s="198"/>
    </row>
    <row r="16" spans="1:19" s="392" customFormat="1" ht="13.5">
      <c r="A16" s="383"/>
      <c r="B16" s="384" t="s">
        <v>156</v>
      </c>
      <c r="C16" s="432">
        <f>SUM(C11:C15)</f>
        <v>68291.66666666667</v>
      </c>
      <c r="D16" s="385"/>
      <c r="E16" s="386">
        <f>SUM(E11:E15)</f>
        <v>819500</v>
      </c>
      <c r="F16" s="401">
        <f>E16/E16</f>
        <v>1</v>
      </c>
      <c r="G16" s="387"/>
      <c r="H16" s="388">
        <f>SUM(H11:H15)</f>
        <v>901725</v>
      </c>
      <c r="I16" s="407">
        <f>H16/H16</f>
        <v>1</v>
      </c>
      <c r="J16" s="389"/>
      <c r="K16" s="388">
        <f>SUM(K11:K15)</f>
        <v>946811.25</v>
      </c>
      <c r="L16" s="407">
        <f>K16/K16</f>
        <v>1</v>
      </c>
      <c r="M16" s="389"/>
      <c r="N16" s="388">
        <f>SUM(N11:N15)</f>
        <v>994151.8125</v>
      </c>
      <c r="O16" s="407">
        <f>N16/N16</f>
        <v>1</v>
      </c>
      <c r="P16" s="389"/>
      <c r="Q16" s="390">
        <f>SUM(Q11:Q15)</f>
        <v>1043859.403125</v>
      </c>
      <c r="R16" s="401">
        <f>Q16/Q16</f>
        <v>1</v>
      </c>
      <c r="S16" s="391"/>
    </row>
    <row r="17" spans="1:19" ht="13.5">
      <c r="A17" s="119"/>
      <c r="B17" s="419"/>
      <c r="C17" s="433"/>
      <c r="D17" s="114"/>
      <c r="E17" s="119"/>
      <c r="F17" s="398"/>
      <c r="G17" s="114"/>
      <c r="H17" s="119"/>
      <c r="I17" s="398"/>
      <c r="J17" s="114"/>
      <c r="K17" s="119"/>
      <c r="L17" s="398"/>
      <c r="M17" s="114"/>
      <c r="N17" s="119"/>
      <c r="O17" s="398"/>
      <c r="P17" s="114"/>
      <c r="Q17" s="119"/>
      <c r="R17" s="398"/>
      <c r="S17" s="198"/>
    </row>
    <row r="18" spans="1:19" ht="15.75">
      <c r="A18" s="119"/>
      <c r="B18" s="163" t="s">
        <v>224</v>
      </c>
      <c r="C18" s="434"/>
      <c r="D18" s="368"/>
      <c r="E18" s="119"/>
      <c r="F18" s="398"/>
      <c r="G18" s="114"/>
      <c r="H18" s="119"/>
      <c r="I18" s="398"/>
      <c r="J18" s="114"/>
      <c r="K18" s="119"/>
      <c r="L18" s="398"/>
      <c r="M18" s="114"/>
      <c r="N18" s="119"/>
      <c r="O18" s="398"/>
      <c r="P18" s="114"/>
      <c r="Q18" s="119"/>
      <c r="R18" s="398"/>
      <c r="S18" s="198"/>
    </row>
    <row r="19" spans="1:19" ht="15.75">
      <c r="A19" s="119"/>
      <c r="B19" s="20" t="s">
        <v>306</v>
      </c>
      <c r="C19" s="464">
        <f>E19/12</f>
        <v>14208.333333333334</v>
      </c>
      <c r="D19" s="367"/>
      <c r="E19" s="164">
        <f>E11*0.31</f>
        <v>170500</v>
      </c>
      <c r="F19" s="400">
        <f>E19/E16</f>
        <v>0.2080536912751678</v>
      </c>
      <c r="G19" s="364"/>
      <c r="H19" s="164">
        <f>H11*0.31</f>
        <v>187550</v>
      </c>
      <c r="I19" s="406">
        <f>H19/H16</f>
        <v>0.20799024092711194</v>
      </c>
      <c r="J19" s="375"/>
      <c r="K19" s="164">
        <f>K11*0.31</f>
        <v>196927.5</v>
      </c>
      <c r="L19" s="406">
        <f>K19/K16</f>
        <v>0.20799024092711194</v>
      </c>
      <c r="M19" s="375"/>
      <c r="N19" s="164">
        <f>N11*0.31</f>
        <v>206773.875</v>
      </c>
      <c r="O19" s="406">
        <f>N19/N16</f>
        <v>0.20799024092711194</v>
      </c>
      <c r="P19" s="375"/>
      <c r="Q19" s="164">
        <f>Q11*0.31</f>
        <v>217112.56875</v>
      </c>
      <c r="R19" s="406">
        <f>Q19/Q16</f>
        <v>0.20799024092711194</v>
      </c>
      <c r="S19" s="198"/>
    </row>
    <row r="20" spans="1:19" ht="15.75">
      <c r="A20" s="119"/>
      <c r="B20" s="14" t="s">
        <v>307</v>
      </c>
      <c r="C20" s="464">
        <f>E20/12</f>
        <v>3529.1666666666665</v>
      </c>
      <c r="D20" s="367"/>
      <c r="E20" s="164">
        <f>E12*0.22</f>
        <v>42350</v>
      </c>
      <c r="F20" s="400">
        <f>E20/E16</f>
        <v>0.05167785234899329</v>
      </c>
      <c r="G20" s="364"/>
      <c r="H20" s="164">
        <f>H12*0.22</f>
        <v>46585</v>
      </c>
      <c r="I20" s="406">
        <f>H20/H16</f>
        <v>0.05166209210125038</v>
      </c>
      <c r="J20" s="375"/>
      <c r="K20" s="164">
        <f>K12*0.22</f>
        <v>48914.25</v>
      </c>
      <c r="L20" s="406">
        <f>K20/K16</f>
        <v>0.05166209210125038</v>
      </c>
      <c r="M20" s="375"/>
      <c r="N20" s="164">
        <f>N12*0.22</f>
        <v>51359.9625</v>
      </c>
      <c r="O20" s="406">
        <f>N20/N16</f>
        <v>0.05166209210125038</v>
      </c>
      <c r="P20" s="375"/>
      <c r="Q20" s="164">
        <f>Q12*0.22</f>
        <v>53927.960625</v>
      </c>
      <c r="R20" s="406">
        <f>Q20/Q16</f>
        <v>0.05166209210125038</v>
      </c>
      <c r="S20" s="198"/>
    </row>
    <row r="21" spans="1:19" ht="15.75">
      <c r="A21" s="119"/>
      <c r="B21" s="20" t="s">
        <v>308</v>
      </c>
      <c r="C21" s="464">
        <f>E21/12</f>
        <v>1738</v>
      </c>
      <c r="D21" s="367"/>
      <c r="E21" s="164">
        <f>E13*0.316</f>
        <v>20856</v>
      </c>
      <c r="F21" s="400">
        <f>E21/E16</f>
        <v>0.0254496644295302</v>
      </c>
      <c r="G21" s="364"/>
      <c r="H21" s="164">
        <f>H13*0.316</f>
        <v>22941.6</v>
      </c>
      <c r="I21" s="406">
        <f>H21/H16</f>
        <v>0.025441903019213175</v>
      </c>
      <c r="J21" s="375"/>
      <c r="K21" s="164">
        <f>K13*0.316</f>
        <v>24088.68</v>
      </c>
      <c r="L21" s="406">
        <f>K21/K16</f>
        <v>0.025441903019213175</v>
      </c>
      <c r="M21" s="375"/>
      <c r="N21" s="164">
        <f>N13*0.316</f>
        <v>25293.114</v>
      </c>
      <c r="O21" s="406">
        <f>N21/N16</f>
        <v>0.025441903019213175</v>
      </c>
      <c r="P21" s="375"/>
      <c r="Q21" s="164">
        <f>Q13*0.316</f>
        <v>26557.7697</v>
      </c>
      <c r="R21" s="406">
        <f>Q21/Q16</f>
        <v>0.025441903019213178</v>
      </c>
      <c r="S21" s="452"/>
    </row>
    <row r="22" spans="1:19" ht="15.75">
      <c r="A22" s="119"/>
      <c r="B22" s="20" t="s">
        <v>309</v>
      </c>
      <c r="C22" s="464">
        <f>E22/12</f>
        <v>404.25</v>
      </c>
      <c r="D22" s="367"/>
      <c r="E22" s="164">
        <f>0.294*E14</f>
        <v>4851</v>
      </c>
      <c r="F22" s="400">
        <f>E22/E16</f>
        <v>0.005919463087248322</v>
      </c>
      <c r="G22" s="364"/>
      <c r="H22" s="164">
        <f>0.294*H14</f>
        <v>5336.099999999999</v>
      </c>
      <c r="I22" s="406">
        <f>H22/H16</f>
        <v>0.005917657822506861</v>
      </c>
      <c r="J22" s="375"/>
      <c r="K22" s="164">
        <f>0.294*K14</f>
        <v>5602.905</v>
      </c>
      <c r="L22" s="406">
        <f>K22/K16</f>
        <v>0.005917657822506862</v>
      </c>
      <c r="M22" s="375"/>
      <c r="N22" s="164">
        <f>0.294*N14</f>
        <v>5883.050249999999</v>
      </c>
      <c r="O22" s="406">
        <f>N22/N16</f>
        <v>0.005917657822506861</v>
      </c>
      <c r="P22" s="375"/>
      <c r="Q22" s="164">
        <f>0.294*Q14</f>
        <v>6177.202762499999</v>
      </c>
      <c r="R22" s="406">
        <f>Q22/Q16</f>
        <v>0.005917657822506861</v>
      </c>
      <c r="S22" s="452"/>
    </row>
    <row r="23" spans="1:19" ht="16.5" thickBot="1">
      <c r="A23" s="119"/>
      <c r="B23" s="141" t="s">
        <v>368</v>
      </c>
      <c r="C23" s="464">
        <f>E23/12</f>
        <v>682.9166666666666</v>
      </c>
      <c r="D23" s="367"/>
      <c r="E23" s="164">
        <f>E16*0.01</f>
        <v>8195</v>
      </c>
      <c r="F23" s="400">
        <f>E23/E16</f>
        <v>0.01</v>
      </c>
      <c r="G23" s="364"/>
      <c r="H23" s="164">
        <f>H16*0.01</f>
        <v>9017.25</v>
      </c>
      <c r="I23" s="408">
        <f>H23/H16</f>
        <v>0.01</v>
      </c>
      <c r="J23" s="376"/>
      <c r="K23" s="164">
        <f>K16*0.01</f>
        <v>9468.112500000001</v>
      </c>
      <c r="L23" s="406">
        <f>K23/K16</f>
        <v>0.010000000000000002</v>
      </c>
      <c r="M23" s="375"/>
      <c r="N23" s="164">
        <f>N16*0.01</f>
        <v>9941.518125</v>
      </c>
      <c r="O23" s="406">
        <f>N23/N16</f>
        <v>0.01</v>
      </c>
      <c r="P23" s="375"/>
      <c r="Q23" s="164">
        <f>Q16*0.01</f>
        <v>10438.59403125</v>
      </c>
      <c r="R23" s="406">
        <f>Q23/Q16</f>
        <v>0.01</v>
      </c>
      <c r="S23" s="452" t="s">
        <v>310</v>
      </c>
    </row>
    <row r="24" spans="1:19" s="176" customFormat="1" ht="16.5" thickBot="1">
      <c r="A24" s="173"/>
      <c r="B24" s="174" t="s">
        <v>40</v>
      </c>
      <c r="C24" s="435">
        <f>SUM(C19:C23)</f>
        <v>20562.666666666668</v>
      </c>
      <c r="D24" s="367"/>
      <c r="E24" s="175">
        <f>SUM(E19:E23)</f>
        <v>246752</v>
      </c>
      <c r="F24" s="400">
        <f>E24/E16</f>
        <v>0.3011006711409396</v>
      </c>
      <c r="G24" s="364"/>
      <c r="H24" s="175">
        <f>SUM(H19:H23)</f>
        <v>271429.95</v>
      </c>
      <c r="I24" s="406">
        <f>H24/H16</f>
        <v>0.30101189387008237</v>
      </c>
      <c r="J24" s="375"/>
      <c r="K24" s="175">
        <f>SUM(K19:K23)</f>
        <v>285001.4475</v>
      </c>
      <c r="L24" s="406">
        <f>K24/K16</f>
        <v>0.30101189387008237</v>
      </c>
      <c r="M24" s="375"/>
      <c r="N24" s="175">
        <f>SUM(N19:N23)</f>
        <v>299251.51987499994</v>
      </c>
      <c r="O24" s="406">
        <f>N24/N16</f>
        <v>0.30101189387008226</v>
      </c>
      <c r="P24" s="375"/>
      <c r="Q24" s="175">
        <f>SUM(Q19:Q23)</f>
        <v>314214.09586874995</v>
      </c>
      <c r="R24" s="406">
        <f>Q24/Q16</f>
        <v>0.3010118938700823</v>
      </c>
      <c r="S24" s="453"/>
    </row>
    <row r="25" spans="2:19" s="171" customFormat="1" ht="16.5" thickBot="1">
      <c r="B25" s="155"/>
      <c r="C25" s="436"/>
      <c r="D25" s="369"/>
      <c r="E25" s="172"/>
      <c r="F25" s="402"/>
      <c r="G25" s="365"/>
      <c r="I25" s="402"/>
      <c r="J25" s="365"/>
      <c r="L25" s="402"/>
      <c r="M25" s="365"/>
      <c r="O25" s="402"/>
      <c r="P25" s="365"/>
      <c r="R25" s="402"/>
      <c r="S25" s="453"/>
    </row>
    <row r="26" spans="1:19" s="382" customFormat="1" ht="15" thickBot="1">
      <c r="A26" s="377"/>
      <c r="B26" s="378" t="s">
        <v>227</v>
      </c>
      <c r="C26" s="437">
        <f>+C16-C24</f>
        <v>47729</v>
      </c>
      <c r="D26" s="379"/>
      <c r="E26" s="380">
        <f>+E16-E24</f>
        <v>572748</v>
      </c>
      <c r="F26" s="400">
        <f>E26/E16</f>
        <v>0.6988993288590604</v>
      </c>
      <c r="G26" s="381"/>
      <c r="H26" s="380">
        <f>+H16-H24</f>
        <v>630295.05</v>
      </c>
      <c r="I26" s="400">
        <f>H26/H16</f>
        <v>0.6989881061299177</v>
      </c>
      <c r="J26" s="381"/>
      <c r="K26" s="380">
        <f>+K16-K24</f>
        <v>661809.8025</v>
      </c>
      <c r="L26" s="400">
        <f>K26/K16</f>
        <v>0.6989881061299177</v>
      </c>
      <c r="M26" s="381"/>
      <c r="N26" s="380">
        <f>+N16-N24</f>
        <v>694900.292625</v>
      </c>
      <c r="O26" s="400">
        <f>N26/N16</f>
        <v>0.6989881061299177</v>
      </c>
      <c r="P26" s="381"/>
      <c r="Q26" s="380">
        <f>+Q16-Q24</f>
        <v>729645.30725625</v>
      </c>
      <c r="R26" s="400">
        <f>Q26/Q16</f>
        <v>0.6989881061299177</v>
      </c>
      <c r="S26" s="453"/>
    </row>
    <row r="27" spans="1:19" ht="13.5">
      <c r="A27" s="119"/>
      <c r="B27" s="419"/>
      <c r="C27" s="433"/>
      <c r="D27" s="114"/>
      <c r="E27" s="119"/>
      <c r="F27" s="398"/>
      <c r="G27" s="114"/>
      <c r="H27" s="119"/>
      <c r="I27" s="398"/>
      <c r="J27" s="114"/>
      <c r="K27" s="119"/>
      <c r="L27" s="398"/>
      <c r="M27" s="114"/>
      <c r="N27" s="119"/>
      <c r="O27" s="398"/>
      <c r="P27" s="114"/>
      <c r="Q27" s="119"/>
      <c r="R27" s="398"/>
      <c r="S27" s="452"/>
    </row>
    <row r="28" spans="1:19" ht="15.75">
      <c r="A28" s="119"/>
      <c r="B28" s="140" t="s">
        <v>225</v>
      </c>
      <c r="C28" s="438"/>
      <c r="D28" s="370"/>
      <c r="E28" s="119"/>
      <c r="F28" s="398"/>
      <c r="G28" s="114"/>
      <c r="H28" s="119"/>
      <c r="I28" s="398"/>
      <c r="J28" s="114"/>
      <c r="K28" s="119"/>
      <c r="L28" s="398"/>
      <c r="M28" s="114"/>
      <c r="N28" s="119"/>
      <c r="O28" s="398"/>
      <c r="P28" s="114"/>
      <c r="Q28" s="119"/>
      <c r="R28" s="398"/>
      <c r="S28" s="452"/>
    </row>
    <row r="29" spans="1:19" s="324" customFormat="1" ht="15.75">
      <c r="A29" s="461"/>
      <c r="B29" s="463" t="s">
        <v>41</v>
      </c>
      <c r="C29" s="464">
        <f>E29/12</f>
        <v>22572.333333333332</v>
      </c>
      <c r="D29" s="371"/>
      <c r="E29" s="177">
        <v>270868</v>
      </c>
      <c r="F29" s="400">
        <f>E29/E16</f>
        <v>0.33052837095790116</v>
      </c>
      <c r="G29" s="465"/>
      <c r="H29" s="462">
        <f>E29+E29*0.05</f>
        <v>284411.4</v>
      </c>
      <c r="I29" s="406">
        <f>H29/H16</f>
        <v>0.31540813440904936</v>
      </c>
      <c r="J29" s="466"/>
      <c r="K29" s="462">
        <f aca="true" t="shared" si="0" ref="K29:K35">H29+H29*0.05</f>
        <v>298631.97000000003</v>
      </c>
      <c r="L29" s="406">
        <f>K29/K16</f>
        <v>0.31540813440904936</v>
      </c>
      <c r="M29" s="466"/>
      <c r="N29" s="462">
        <f aca="true" t="shared" si="1" ref="N29:N35">K29+K29*0.05</f>
        <v>313563.56850000005</v>
      </c>
      <c r="O29" s="406">
        <f>N29/N16</f>
        <v>0.31540813440904936</v>
      </c>
      <c r="P29" s="466"/>
      <c r="Q29" s="462">
        <f aca="true" t="shared" si="2" ref="Q29:Q35">N29+N29*0.05</f>
        <v>329241.74692500004</v>
      </c>
      <c r="R29" s="406">
        <f>Q29/Q16</f>
        <v>0.31540813440904936</v>
      </c>
      <c r="S29" s="467" t="s">
        <v>310</v>
      </c>
    </row>
    <row r="30" spans="1:19" s="459" customFormat="1" ht="15.75">
      <c r="A30" s="122"/>
      <c r="B30" s="454" t="s">
        <v>342</v>
      </c>
      <c r="C30" s="455">
        <f>E30/12</f>
        <v>1500</v>
      </c>
      <c r="D30" s="456"/>
      <c r="E30" s="412">
        <v>18000</v>
      </c>
      <c r="F30" s="395">
        <f>E30/E16</f>
        <v>0.021964612568639415</v>
      </c>
      <c r="G30" s="457"/>
      <c r="H30" s="413">
        <f>E30+E30*0.05</f>
        <v>18900</v>
      </c>
      <c r="I30" s="414">
        <f>H30/H16</f>
        <v>0.02095982699825335</v>
      </c>
      <c r="J30" s="458"/>
      <c r="K30" s="413">
        <f t="shared" si="0"/>
        <v>19845</v>
      </c>
      <c r="L30" s="414">
        <f>K30/K16</f>
        <v>0.02095982699825335</v>
      </c>
      <c r="M30" s="458"/>
      <c r="N30" s="413">
        <f t="shared" si="1"/>
        <v>20837.25</v>
      </c>
      <c r="O30" s="414">
        <f>N30/N16</f>
        <v>0.02095982699825335</v>
      </c>
      <c r="P30" s="458"/>
      <c r="Q30" s="413">
        <f t="shared" si="2"/>
        <v>21879.1125</v>
      </c>
      <c r="R30" s="414">
        <f>Q30/Q16</f>
        <v>0.02095982699825335</v>
      </c>
      <c r="S30" s="452"/>
    </row>
    <row r="31" spans="2:19" s="394" customFormat="1" ht="15.75">
      <c r="B31" s="460" t="s">
        <v>346</v>
      </c>
      <c r="C31" s="439">
        <f>E31/12</f>
        <v>266.6666666666667</v>
      </c>
      <c r="D31" s="411"/>
      <c r="E31" s="412">
        <v>3200</v>
      </c>
      <c r="F31" s="395">
        <f>E31/E16</f>
        <v>0.0039048200122025626</v>
      </c>
      <c r="G31" s="393"/>
      <c r="H31" s="413">
        <f>E31+E31*0.05</f>
        <v>3360</v>
      </c>
      <c r="I31" s="414">
        <f>H31/H16</f>
        <v>0.0037261914663561505</v>
      </c>
      <c r="J31" s="415"/>
      <c r="K31" s="413">
        <f>H31+H31*0.05</f>
        <v>3528</v>
      </c>
      <c r="L31" s="414">
        <f>K31/K16</f>
        <v>0.0037261914663561505</v>
      </c>
      <c r="M31" s="415"/>
      <c r="N31" s="413">
        <f>K31+K31*0.05</f>
        <v>3704.4</v>
      </c>
      <c r="O31" s="414">
        <f>N31/N16</f>
        <v>0.003726191466356151</v>
      </c>
      <c r="P31" s="415"/>
      <c r="Q31" s="413">
        <f>N31+N31*0.05</f>
        <v>3889.62</v>
      </c>
      <c r="R31" s="414">
        <f>Q31/Q16</f>
        <v>0.003726191466356151</v>
      </c>
      <c r="S31" s="416"/>
    </row>
    <row r="32" spans="2:18" s="394" customFormat="1" ht="15.75">
      <c r="B32" s="460" t="s">
        <v>75</v>
      </c>
      <c r="C32" s="439">
        <f aca="true" t="shared" si="3" ref="C32:C49">E32/12</f>
        <v>500</v>
      </c>
      <c r="D32" s="411"/>
      <c r="E32" s="412">
        <v>6000</v>
      </c>
      <c r="F32" s="395">
        <f>E32/E16</f>
        <v>0.007321537522879805</v>
      </c>
      <c r="G32" s="393"/>
      <c r="H32" s="413">
        <f>E32+E32*0.05</f>
        <v>6300</v>
      </c>
      <c r="I32" s="414">
        <f>H32/H16</f>
        <v>0.006986608999417783</v>
      </c>
      <c r="J32" s="415"/>
      <c r="K32" s="413">
        <f t="shared" si="0"/>
        <v>6615</v>
      </c>
      <c r="L32" s="414">
        <f>K32/K16</f>
        <v>0.006986608999417783</v>
      </c>
      <c r="M32" s="415"/>
      <c r="N32" s="413">
        <f t="shared" si="1"/>
        <v>6945.75</v>
      </c>
      <c r="O32" s="414">
        <f>N32/N16</f>
        <v>0.006986608999417783</v>
      </c>
      <c r="P32" s="415"/>
      <c r="Q32" s="413">
        <f t="shared" si="2"/>
        <v>7293.0375</v>
      </c>
      <c r="R32" s="414">
        <f>Q32/Q16</f>
        <v>0.006986608999417783</v>
      </c>
    </row>
    <row r="33" spans="2:18" s="394" customFormat="1" ht="15.75">
      <c r="B33" s="460" t="s">
        <v>347</v>
      </c>
      <c r="C33" s="439">
        <f t="shared" si="3"/>
        <v>1229.2500000000002</v>
      </c>
      <c r="D33" s="411"/>
      <c r="E33" s="412">
        <f>E16*1.8%</f>
        <v>14751.000000000002</v>
      </c>
      <c r="F33" s="395">
        <f>E33/E16</f>
        <v>0.018000000000000002</v>
      </c>
      <c r="G33" s="393"/>
      <c r="H33" s="412">
        <f>H16*1.8%</f>
        <v>16231.050000000001</v>
      </c>
      <c r="I33" s="414">
        <f>H33/H16</f>
        <v>0.018000000000000002</v>
      </c>
      <c r="J33" s="415"/>
      <c r="K33" s="412">
        <f>K16*1.8%</f>
        <v>17042.6025</v>
      </c>
      <c r="L33" s="414">
        <f>K33/K16</f>
        <v>0.018000000000000002</v>
      </c>
      <c r="M33" s="415"/>
      <c r="N33" s="412">
        <f>N16*1.8%</f>
        <v>17894.732625</v>
      </c>
      <c r="O33" s="414">
        <f>N33/N16</f>
        <v>0.018000000000000002</v>
      </c>
      <c r="P33" s="415"/>
      <c r="Q33" s="412">
        <f>Q16*1.8%</f>
        <v>18789.469256250002</v>
      </c>
      <c r="R33" s="414">
        <f>Q33/Q16</f>
        <v>0.018000000000000002</v>
      </c>
    </row>
    <row r="34" spans="2:18" s="394" customFormat="1" ht="15.75">
      <c r="B34" s="460" t="s">
        <v>344</v>
      </c>
      <c r="C34" s="439">
        <f t="shared" si="3"/>
        <v>3500</v>
      </c>
      <c r="D34" s="411"/>
      <c r="E34" s="412">
        <v>42000</v>
      </c>
      <c r="F34" s="395">
        <f>E34/E16</f>
        <v>0.051250762660158634</v>
      </c>
      <c r="G34" s="393"/>
      <c r="H34" s="413">
        <f>E34+E34*0.05</f>
        <v>44100</v>
      </c>
      <c r="I34" s="414">
        <f>H34/H16</f>
        <v>0.04890626299592448</v>
      </c>
      <c r="J34" s="415"/>
      <c r="K34" s="413">
        <f t="shared" si="0"/>
        <v>46305</v>
      </c>
      <c r="L34" s="414">
        <f>K34/K16</f>
        <v>0.04890626299592448</v>
      </c>
      <c r="M34" s="415"/>
      <c r="N34" s="413">
        <f t="shared" si="1"/>
        <v>48620.25</v>
      </c>
      <c r="O34" s="414">
        <f>N34/N16</f>
        <v>0.04890626299592448</v>
      </c>
      <c r="P34" s="415"/>
      <c r="Q34" s="413">
        <f t="shared" si="2"/>
        <v>51051.2625</v>
      </c>
      <c r="R34" s="414">
        <f>Q34/Q16</f>
        <v>0.04890626299592448</v>
      </c>
    </row>
    <row r="35" spans="2:18" s="394" customFormat="1" ht="15.75">
      <c r="B35" s="460" t="s">
        <v>349</v>
      </c>
      <c r="C35" s="439">
        <f t="shared" si="3"/>
        <v>300</v>
      </c>
      <c r="D35" s="411"/>
      <c r="E35" s="412">
        <v>3600</v>
      </c>
      <c r="F35" s="395">
        <f>E35/E16</f>
        <v>0.004392922513727883</v>
      </c>
      <c r="G35" s="393"/>
      <c r="H35" s="413">
        <f>E35+E35*0.05</f>
        <v>3780</v>
      </c>
      <c r="I35" s="414">
        <f>H35/H16</f>
        <v>0.00419196539965067</v>
      </c>
      <c r="J35" s="415"/>
      <c r="K35" s="413">
        <f t="shared" si="0"/>
        <v>3969</v>
      </c>
      <c r="L35" s="414">
        <f>K35/K16</f>
        <v>0.00419196539965067</v>
      </c>
      <c r="M35" s="415"/>
      <c r="N35" s="413">
        <f t="shared" si="1"/>
        <v>4167.45</v>
      </c>
      <c r="O35" s="414">
        <f>N35/N16</f>
        <v>0.004191965399650669</v>
      </c>
      <c r="P35" s="415"/>
      <c r="Q35" s="413">
        <f t="shared" si="2"/>
        <v>4375.8225</v>
      </c>
      <c r="R35" s="414">
        <f>Q35/Q16</f>
        <v>0.00419196539965067</v>
      </c>
    </row>
    <row r="36" spans="2:18" s="394" customFormat="1" ht="15.75">
      <c r="B36" s="460" t="s">
        <v>348</v>
      </c>
      <c r="C36" s="439">
        <f t="shared" si="3"/>
        <v>62.5</v>
      </c>
      <c r="D36" s="411"/>
      <c r="E36" s="412">
        <v>750</v>
      </c>
      <c r="F36" s="395">
        <f>E36/E16</f>
        <v>0.0009151921903599756</v>
      </c>
      <c r="G36" s="393"/>
      <c r="H36" s="413">
        <f>E36+E36*0.05</f>
        <v>787.5</v>
      </c>
      <c r="I36" s="414">
        <f>H36/H16</f>
        <v>0.0008733261249272229</v>
      </c>
      <c r="J36" s="415"/>
      <c r="K36" s="413">
        <f>H36+H36*0.05</f>
        <v>826.875</v>
      </c>
      <c r="L36" s="414">
        <f>K36/K16</f>
        <v>0.0008733261249272229</v>
      </c>
      <c r="M36" s="415"/>
      <c r="N36" s="413">
        <f>K36+K36*0.05</f>
        <v>868.21875</v>
      </c>
      <c r="O36" s="414">
        <f>N36/N16</f>
        <v>0.0008733261249272229</v>
      </c>
      <c r="P36" s="415"/>
      <c r="Q36" s="413">
        <f>N36+N36*0.05</f>
        <v>911.6296875</v>
      </c>
      <c r="R36" s="414">
        <f>Q36/Q16</f>
        <v>0.0008733261249272229</v>
      </c>
    </row>
    <row r="37" spans="2:19" s="249" customFormat="1" ht="15.75">
      <c r="B37" s="490" t="s">
        <v>311</v>
      </c>
      <c r="C37" s="491">
        <f t="shared" si="3"/>
        <v>2600</v>
      </c>
      <c r="D37" s="492"/>
      <c r="E37" s="493">
        <v>31200</v>
      </c>
      <c r="F37" s="494">
        <f>E37/E16</f>
        <v>0.03807199511897499</v>
      </c>
      <c r="G37" s="495"/>
      <c r="H37" s="496">
        <f>E37+E37*0.04</f>
        <v>32448</v>
      </c>
      <c r="I37" s="497">
        <f>H37/H16</f>
        <v>0.03598436330366797</v>
      </c>
      <c r="J37" s="498"/>
      <c r="K37" s="496">
        <f>H37+H37*0.04</f>
        <v>33745.92</v>
      </c>
      <c r="L37" s="497">
        <f>K37/K16</f>
        <v>0.03564165508172827</v>
      </c>
      <c r="M37" s="498"/>
      <c r="N37" s="496">
        <f>K37+K37*0.04</f>
        <v>35095.756799999996</v>
      </c>
      <c r="O37" s="497">
        <f>N37/N16</f>
        <v>0.03530221074761657</v>
      </c>
      <c r="P37" s="498"/>
      <c r="Q37" s="496">
        <f>N37+N37*0.04</f>
        <v>36499.587071999995</v>
      </c>
      <c r="R37" s="497">
        <f>Q37/Q16</f>
        <v>0.034965999216686895</v>
      </c>
      <c r="S37" s="499" t="s">
        <v>441</v>
      </c>
    </row>
    <row r="38" spans="2:19" s="249" customFormat="1" ht="15.75">
      <c r="B38" s="490" t="s">
        <v>454</v>
      </c>
      <c r="C38" s="491">
        <f t="shared" si="3"/>
        <v>0</v>
      </c>
      <c r="D38" s="492"/>
      <c r="E38" s="493">
        <v>0</v>
      </c>
      <c r="F38" s="494">
        <f>E38/E16</f>
        <v>0</v>
      </c>
      <c r="G38" s="495"/>
      <c r="H38" s="496">
        <v>8125</v>
      </c>
      <c r="I38" s="497">
        <f>H38/H16</f>
        <v>0.009010507638138014</v>
      </c>
      <c r="J38" s="498"/>
      <c r="K38" s="496">
        <f aca="true" t="shared" si="4" ref="K38:K44">H38+H38*0.05</f>
        <v>8531.25</v>
      </c>
      <c r="L38" s="497">
        <f>K38/K16</f>
        <v>0.009010507638138014</v>
      </c>
      <c r="M38" s="498"/>
      <c r="N38" s="496">
        <f aca="true" t="shared" si="5" ref="N38:N44">K38+K38*0.05</f>
        <v>8957.8125</v>
      </c>
      <c r="O38" s="497">
        <f>N38/N16</f>
        <v>0.009010507638138014</v>
      </c>
      <c r="P38" s="498"/>
      <c r="Q38" s="496">
        <f aca="true" t="shared" si="6" ref="Q38:Q44">N38+N38*0.05</f>
        <v>9405.703125</v>
      </c>
      <c r="R38" s="497">
        <f>Q38/Q16</f>
        <v>0.009010507638138014</v>
      </c>
      <c r="S38" s="500" t="s">
        <v>449</v>
      </c>
    </row>
    <row r="39" spans="2:19" s="394" customFormat="1" ht="15.75">
      <c r="B39" s="460" t="s">
        <v>343</v>
      </c>
      <c r="C39" s="439">
        <f t="shared" si="3"/>
        <v>400</v>
      </c>
      <c r="D39" s="411"/>
      <c r="E39" s="412">
        <v>4800</v>
      </c>
      <c r="F39" s="395">
        <f>E39/E16</f>
        <v>0.005857230018303843</v>
      </c>
      <c r="G39" s="393"/>
      <c r="H39" s="413">
        <f aca="true" t="shared" si="7" ref="H39:H44">E39+E39*0.05</f>
        <v>5040</v>
      </c>
      <c r="I39" s="414">
        <f>H39/H16</f>
        <v>0.005589287199534226</v>
      </c>
      <c r="J39" s="415"/>
      <c r="K39" s="413">
        <f t="shared" si="4"/>
        <v>5292</v>
      </c>
      <c r="L39" s="414">
        <f>K39/K16</f>
        <v>0.005589287199534226</v>
      </c>
      <c r="M39" s="415"/>
      <c r="N39" s="413">
        <f t="shared" si="5"/>
        <v>5556.6</v>
      </c>
      <c r="O39" s="414">
        <f>N39/N16</f>
        <v>0.005589287199534226</v>
      </c>
      <c r="P39" s="415"/>
      <c r="Q39" s="413">
        <f t="shared" si="6"/>
        <v>5834.43</v>
      </c>
      <c r="R39" s="414">
        <f>Q39/Q16</f>
        <v>0.005589287199534227</v>
      </c>
      <c r="S39" s="416"/>
    </row>
    <row r="40" spans="2:19" s="394" customFormat="1" ht="15.75">
      <c r="B40" s="460" t="s">
        <v>350</v>
      </c>
      <c r="C40" s="439">
        <f t="shared" si="3"/>
        <v>1250</v>
      </c>
      <c r="D40" s="411"/>
      <c r="E40" s="412">
        <v>15000</v>
      </c>
      <c r="F40" s="395">
        <f>E40/E16</f>
        <v>0.018303843807199512</v>
      </c>
      <c r="G40" s="393"/>
      <c r="H40" s="413">
        <f t="shared" si="7"/>
        <v>15750</v>
      </c>
      <c r="I40" s="414">
        <f>H40/H16</f>
        <v>0.017466522498544457</v>
      </c>
      <c r="J40" s="415"/>
      <c r="K40" s="413">
        <f t="shared" si="4"/>
        <v>16537.5</v>
      </c>
      <c r="L40" s="414">
        <f>K40/K16</f>
        <v>0.017466522498544457</v>
      </c>
      <c r="M40" s="415"/>
      <c r="N40" s="413">
        <f t="shared" si="5"/>
        <v>17364.375</v>
      </c>
      <c r="O40" s="414">
        <f>N40/N16</f>
        <v>0.017466522498544457</v>
      </c>
      <c r="P40" s="415"/>
      <c r="Q40" s="413">
        <f t="shared" si="6"/>
        <v>18232.59375</v>
      </c>
      <c r="R40" s="414">
        <f>Q40/Q16</f>
        <v>0.017466522498544457</v>
      </c>
      <c r="S40" s="416"/>
    </row>
    <row r="41" spans="2:19" s="394" customFormat="1" ht="15.75">
      <c r="B41" s="460" t="s">
        <v>351</v>
      </c>
      <c r="C41" s="439">
        <f t="shared" si="3"/>
        <v>208.33333333333334</v>
      </c>
      <c r="D41" s="411"/>
      <c r="E41" s="412">
        <v>2500</v>
      </c>
      <c r="F41" s="395">
        <f>E41/E16</f>
        <v>0.003050640634533252</v>
      </c>
      <c r="G41" s="393"/>
      <c r="H41" s="413">
        <f t="shared" si="7"/>
        <v>2625</v>
      </c>
      <c r="I41" s="414">
        <f>H41/H16</f>
        <v>0.0029110870830907428</v>
      </c>
      <c r="J41" s="415"/>
      <c r="K41" s="413">
        <f t="shared" si="4"/>
        <v>2756.25</v>
      </c>
      <c r="L41" s="414">
        <f>K41/K16</f>
        <v>0.0029110870830907428</v>
      </c>
      <c r="M41" s="415"/>
      <c r="N41" s="413">
        <f t="shared" si="5"/>
        <v>2894.0625</v>
      </c>
      <c r="O41" s="414">
        <f>N41/N16</f>
        <v>0.0029110870830907428</v>
      </c>
      <c r="P41" s="415"/>
      <c r="Q41" s="413">
        <f t="shared" si="6"/>
        <v>3038.765625</v>
      </c>
      <c r="R41" s="414">
        <f>Q41/Q16</f>
        <v>0.0029110870830907428</v>
      </c>
      <c r="S41" s="416"/>
    </row>
    <row r="42" spans="1:19" s="394" customFormat="1" ht="15.75">
      <c r="A42" s="122"/>
      <c r="B42" s="460" t="s">
        <v>366</v>
      </c>
      <c r="C42" s="439">
        <f t="shared" si="3"/>
        <v>2083.3333333333335</v>
      </c>
      <c r="D42" s="411"/>
      <c r="E42" s="412">
        <v>25000</v>
      </c>
      <c r="F42" s="395">
        <f>E42/E16</f>
        <v>0.03050640634533252</v>
      </c>
      <c r="G42" s="393"/>
      <c r="H42" s="413">
        <f t="shared" si="7"/>
        <v>26250</v>
      </c>
      <c r="I42" s="414">
        <f>H42/H16</f>
        <v>0.029110870830907427</v>
      </c>
      <c r="J42" s="415"/>
      <c r="K42" s="413">
        <f t="shared" si="4"/>
        <v>27562.5</v>
      </c>
      <c r="L42" s="414">
        <f>K42/K16</f>
        <v>0.029110870830907427</v>
      </c>
      <c r="M42" s="415"/>
      <c r="N42" s="413">
        <f t="shared" si="5"/>
        <v>28940.625</v>
      </c>
      <c r="O42" s="414">
        <f>N42/N16</f>
        <v>0.029110870830907427</v>
      </c>
      <c r="P42" s="415"/>
      <c r="Q42" s="413">
        <f t="shared" si="6"/>
        <v>30387.65625</v>
      </c>
      <c r="R42" s="414">
        <f>Q42/Q16</f>
        <v>0.02911087083090743</v>
      </c>
      <c r="S42" s="452" t="s">
        <v>448</v>
      </c>
    </row>
    <row r="43" spans="2:19" s="394" customFormat="1" ht="15.75">
      <c r="B43" s="460" t="s">
        <v>345</v>
      </c>
      <c r="C43" s="439">
        <f t="shared" si="3"/>
        <v>125</v>
      </c>
      <c r="D43" s="411"/>
      <c r="E43" s="412">
        <v>1500</v>
      </c>
      <c r="F43" s="395">
        <f>E43/E16</f>
        <v>0.0018303843807199512</v>
      </c>
      <c r="G43" s="393"/>
      <c r="H43" s="413">
        <f t="shared" si="7"/>
        <v>1575</v>
      </c>
      <c r="I43" s="414">
        <f>H43/H16</f>
        <v>0.0017466522498544457</v>
      </c>
      <c r="J43" s="415"/>
      <c r="K43" s="413">
        <f t="shared" si="4"/>
        <v>1653.75</v>
      </c>
      <c r="L43" s="414">
        <f>K43/K16</f>
        <v>0.0017466522498544457</v>
      </c>
      <c r="M43" s="415"/>
      <c r="N43" s="413">
        <f t="shared" si="5"/>
        <v>1736.4375</v>
      </c>
      <c r="O43" s="414">
        <f>N43/N16</f>
        <v>0.0017466522498544457</v>
      </c>
      <c r="P43" s="415"/>
      <c r="Q43" s="413">
        <f t="shared" si="6"/>
        <v>1823.259375</v>
      </c>
      <c r="R43" s="414">
        <f>Q43/Q16</f>
        <v>0.0017466522498544457</v>
      </c>
      <c r="S43" s="452"/>
    </row>
    <row r="44" spans="2:19" s="394" customFormat="1" ht="15.75">
      <c r="B44" s="460" t="s">
        <v>422</v>
      </c>
      <c r="C44" s="439">
        <f t="shared" si="3"/>
        <v>83.33333333333333</v>
      </c>
      <c r="D44" s="411"/>
      <c r="E44" s="412">
        <v>1000</v>
      </c>
      <c r="F44" s="395">
        <f>E44/E16</f>
        <v>0.0012202562538133007</v>
      </c>
      <c r="G44" s="393"/>
      <c r="H44" s="413">
        <f t="shared" si="7"/>
        <v>1050</v>
      </c>
      <c r="I44" s="414">
        <f>H44/H16</f>
        <v>0.001164434833236297</v>
      </c>
      <c r="J44" s="415"/>
      <c r="K44" s="413">
        <f t="shared" si="4"/>
        <v>1102.5</v>
      </c>
      <c r="L44" s="414">
        <f>K44/K16</f>
        <v>0.001164434833236297</v>
      </c>
      <c r="M44" s="415"/>
      <c r="N44" s="413">
        <f t="shared" si="5"/>
        <v>1157.625</v>
      </c>
      <c r="O44" s="414">
        <f>N44/N16</f>
        <v>0.001164434833236297</v>
      </c>
      <c r="P44" s="415"/>
      <c r="Q44" s="413">
        <f t="shared" si="6"/>
        <v>1215.50625</v>
      </c>
      <c r="R44" s="414">
        <f>Q44/Q16</f>
        <v>0.001164434833236297</v>
      </c>
      <c r="S44" s="452"/>
    </row>
    <row r="45" spans="2:19" s="394" customFormat="1" ht="15.75">
      <c r="B45" s="460" t="s">
        <v>369</v>
      </c>
      <c r="C45" s="439">
        <f>E45/12</f>
        <v>3096.924133333334</v>
      </c>
      <c r="D45" s="411"/>
      <c r="E45" s="412">
        <f>E29*13.72%</f>
        <v>37163.08960000001</v>
      </c>
      <c r="F45" s="395">
        <f>E45/E16</f>
        <v>0.045348492495424046</v>
      </c>
      <c r="G45" s="393"/>
      <c r="H45" s="412">
        <f>H29*13.72%</f>
        <v>39021.24408000001</v>
      </c>
      <c r="I45" s="414">
        <f>H45/H16</f>
        <v>0.04327399604092158</v>
      </c>
      <c r="J45" s="415"/>
      <c r="K45" s="412">
        <f>K29*13.72%</f>
        <v>40972.306284000006</v>
      </c>
      <c r="L45" s="414">
        <f>K45/K16</f>
        <v>0.043273996040921574</v>
      </c>
      <c r="M45" s="415"/>
      <c r="N45" s="412">
        <f>N29*13.72%</f>
        <v>43020.92159820001</v>
      </c>
      <c r="O45" s="414">
        <f>N45/N16</f>
        <v>0.043273996040921574</v>
      </c>
      <c r="P45" s="415"/>
      <c r="Q45" s="412">
        <f>Q29*13.72%</f>
        <v>45171.96767811001</v>
      </c>
      <c r="R45" s="414">
        <f>Q45/Q16</f>
        <v>0.04327399604092158</v>
      </c>
      <c r="S45" s="452" t="s">
        <v>372</v>
      </c>
    </row>
    <row r="46" spans="2:19" s="468" customFormat="1" ht="15.75">
      <c r="B46" s="469" t="s">
        <v>423</v>
      </c>
      <c r="C46" s="470">
        <f>E46/12</f>
        <v>4268.229166666667</v>
      </c>
      <c r="D46" s="471"/>
      <c r="E46" s="472">
        <f>E16*6.25%</f>
        <v>51218.75</v>
      </c>
      <c r="F46" s="473">
        <f>E46/E16</f>
        <v>0.0625</v>
      </c>
      <c r="G46" s="474"/>
      <c r="H46" s="472">
        <f>H16*6.25%</f>
        <v>56357.8125</v>
      </c>
      <c r="I46" s="475">
        <f>H46/H16</f>
        <v>0.0625</v>
      </c>
      <c r="J46" s="476"/>
      <c r="K46" s="472">
        <f>K16*6.25%</f>
        <v>59175.703125</v>
      </c>
      <c r="L46" s="475">
        <f>K46/K16</f>
        <v>0.0625</v>
      </c>
      <c r="M46" s="476"/>
      <c r="N46" s="472">
        <f>N16*6.25%</f>
        <v>62134.48828125</v>
      </c>
      <c r="O46" s="475">
        <f>N46/N16</f>
        <v>0.0625</v>
      </c>
      <c r="P46" s="476"/>
      <c r="Q46" s="472">
        <f>Q16*6.25%</f>
        <v>65241.2126953125</v>
      </c>
      <c r="R46" s="475">
        <f>Q46/Q16</f>
        <v>0.0625</v>
      </c>
      <c r="S46" s="453"/>
    </row>
    <row r="47" spans="1:19" s="394" customFormat="1" ht="15.75">
      <c r="A47" s="477"/>
      <c r="B47" s="478" t="s">
        <v>370</v>
      </c>
      <c r="C47" s="439">
        <f>E47/12</f>
        <v>62.5</v>
      </c>
      <c r="D47" s="411"/>
      <c r="E47" s="412">
        <v>750</v>
      </c>
      <c r="F47" s="395">
        <f>E47/E16</f>
        <v>0.0009151921903599756</v>
      </c>
      <c r="G47" s="393"/>
      <c r="H47" s="413">
        <f>E47+E47*0.05</f>
        <v>787.5</v>
      </c>
      <c r="I47" s="414">
        <f>H47/H16</f>
        <v>0.0008733261249272229</v>
      </c>
      <c r="J47" s="415"/>
      <c r="K47" s="413">
        <f>H47+H47*0.05</f>
        <v>826.875</v>
      </c>
      <c r="L47" s="414">
        <f>K47/K16</f>
        <v>0.0008733261249272229</v>
      </c>
      <c r="M47" s="415"/>
      <c r="N47" s="413">
        <f>K47+K47*0.05</f>
        <v>868.21875</v>
      </c>
      <c r="O47" s="414">
        <f>N47/N16</f>
        <v>0.0008733261249272229</v>
      </c>
      <c r="P47" s="415"/>
      <c r="Q47" s="413">
        <f>N47+N47*0.05</f>
        <v>911.6296875</v>
      </c>
      <c r="R47" s="414">
        <f>Q47/Q16</f>
        <v>0.0008733261249272229</v>
      </c>
      <c r="S47" s="416"/>
    </row>
    <row r="48" spans="1:19" s="459" customFormat="1" ht="12.75" customHeight="1">
      <c r="A48" s="394"/>
      <c r="B48" s="454" t="s">
        <v>102</v>
      </c>
      <c r="C48" s="439">
        <f t="shared" si="3"/>
        <v>1139.9166666666667</v>
      </c>
      <c r="D48" s="456"/>
      <c r="E48" s="412">
        <v>13679</v>
      </c>
      <c r="F48" s="395">
        <f>E48/E16</f>
        <v>0.016691885295912142</v>
      </c>
      <c r="G48" s="457"/>
      <c r="H48" s="412">
        <v>13679</v>
      </c>
      <c r="I48" s="414">
        <f>H48/H16</f>
        <v>0.015169813413180293</v>
      </c>
      <c r="J48" s="458"/>
      <c r="K48" s="412">
        <v>13679</v>
      </c>
      <c r="L48" s="414">
        <f>K48/K16</f>
        <v>0.014447441345885994</v>
      </c>
      <c r="M48" s="458"/>
      <c r="N48" s="412">
        <v>13679</v>
      </c>
      <c r="O48" s="414">
        <f>N48/N16</f>
        <v>0.01375946794846285</v>
      </c>
      <c r="P48" s="458"/>
      <c r="Q48" s="412">
        <v>13679</v>
      </c>
      <c r="R48" s="414">
        <f>Q48/Q16</f>
        <v>0.01310425518901224</v>
      </c>
      <c r="S48" s="416"/>
    </row>
    <row r="49" spans="1:20" s="324" customFormat="1" ht="12.75" customHeight="1" thickBot="1">
      <c r="A49" s="461"/>
      <c r="B49" s="463" t="s">
        <v>228</v>
      </c>
      <c r="C49" s="450">
        <f t="shared" si="3"/>
        <v>1683.5349999999999</v>
      </c>
      <c r="D49" s="371"/>
      <c r="E49" s="177">
        <v>20202.42</v>
      </c>
      <c r="F49" s="400">
        <f>E49/E16</f>
        <v>0.0246521293471629</v>
      </c>
      <c r="G49" s="465"/>
      <c r="H49" s="479">
        <v>17788.65</v>
      </c>
      <c r="I49" s="406">
        <f>H49/H16</f>
        <v>0.01972735590118939</v>
      </c>
      <c r="J49" s="466"/>
      <c r="K49" s="177">
        <v>15161.69</v>
      </c>
      <c r="L49" s="406">
        <f>K49/K16</f>
        <v>0.016013424006104702</v>
      </c>
      <c r="M49" s="466"/>
      <c r="N49" s="177">
        <v>12302.45</v>
      </c>
      <c r="O49" s="406">
        <f>N49/N16</f>
        <v>0.01237482026921316</v>
      </c>
      <c r="P49" s="466"/>
      <c r="Q49" s="177">
        <v>9190.47</v>
      </c>
      <c r="R49" s="406">
        <f>Q49/Q16</f>
        <v>0.008804317873160415</v>
      </c>
      <c r="S49" s="480"/>
      <c r="T49" s="461"/>
    </row>
    <row r="50" spans="1:19" s="167" customFormat="1" ht="17.25" customHeight="1" thickBot="1">
      <c r="A50" s="166"/>
      <c r="B50" s="169" t="s">
        <v>226</v>
      </c>
      <c r="C50" s="170">
        <f>SUM(C29:C49)</f>
        <v>46931.854966666666</v>
      </c>
      <c r="D50" s="372"/>
      <c r="E50" s="170">
        <f>SUM(E29:E49)</f>
        <v>563182.2596000001</v>
      </c>
      <c r="F50" s="400">
        <f>E50/E16</f>
        <v>0.687226674313606</v>
      </c>
      <c r="G50" s="364"/>
      <c r="H50" s="170">
        <f>SUM(H29:H49)</f>
        <v>598367.1565800001</v>
      </c>
      <c r="I50" s="400">
        <f>H50/H16</f>
        <v>0.6635805335107711</v>
      </c>
      <c r="J50" s="364"/>
      <c r="K50" s="170">
        <f>SUM(K29:K49)</f>
        <v>623760.6919089999</v>
      </c>
      <c r="L50" s="400">
        <f>K50/K16</f>
        <v>0.6588015213264523</v>
      </c>
      <c r="M50" s="364"/>
      <c r="N50" s="170">
        <f>SUM(N29:N49)</f>
        <v>650309.99280445</v>
      </c>
      <c r="O50" s="400">
        <f>N50/N16</f>
        <v>0.654135499858026</v>
      </c>
      <c r="P50" s="364"/>
      <c r="Q50" s="170">
        <f>SUM(Q29:Q49)</f>
        <v>678063.4823766724</v>
      </c>
      <c r="R50" s="400">
        <f>Q50/Q16</f>
        <v>0.6495735731715929</v>
      </c>
      <c r="S50" s="171"/>
    </row>
    <row r="51" spans="1:19" ht="12.75" customHeight="1" thickBot="1">
      <c r="A51" s="119"/>
      <c r="B51" s="20"/>
      <c r="C51" s="20"/>
      <c r="D51" s="373"/>
      <c r="E51" s="119"/>
      <c r="F51" s="398"/>
      <c r="G51" s="114"/>
      <c r="H51" s="119"/>
      <c r="I51" s="398"/>
      <c r="J51" s="114"/>
      <c r="K51" s="119"/>
      <c r="L51" s="398"/>
      <c r="M51" s="114"/>
      <c r="N51" s="119"/>
      <c r="O51" s="398"/>
      <c r="P51" s="114"/>
      <c r="Q51" s="119"/>
      <c r="R51" s="398"/>
      <c r="S51" s="198"/>
    </row>
    <row r="52" spans="1:19" s="182" customFormat="1" ht="16.5" thickBot="1">
      <c r="A52" s="180"/>
      <c r="B52" s="181" t="s">
        <v>230</v>
      </c>
      <c r="C52" s="183">
        <f>+C26-C50</f>
        <v>797.1450333333341</v>
      </c>
      <c r="D52" s="374"/>
      <c r="E52" s="183">
        <f>+E26-E50</f>
        <v>9565.740399999893</v>
      </c>
      <c r="F52" s="400">
        <f>E52/E16</f>
        <v>0.011672654545454415</v>
      </c>
      <c r="G52" s="364"/>
      <c r="H52" s="183">
        <f>+H26-H50</f>
        <v>31927.89341999998</v>
      </c>
      <c r="I52" s="400">
        <f>H52/H16</f>
        <v>0.035407572619146614</v>
      </c>
      <c r="J52" s="364"/>
      <c r="K52" s="183">
        <f>+K26-K50</f>
        <v>38049.11059100006</v>
      </c>
      <c r="L52" s="400">
        <f>K52/K16</f>
        <v>0.04018658480346538</v>
      </c>
      <c r="M52" s="364"/>
      <c r="N52" s="183">
        <f>+N26-N50</f>
        <v>44590.29982055002</v>
      </c>
      <c r="O52" s="400">
        <f>N52/N16</f>
        <v>0.04485260627189172</v>
      </c>
      <c r="P52" s="364"/>
      <c r="Q52" s="183">
        <f>+Q26-Q50</f>
        <v>51581.8248795775</v>
      </c>
      <c r="R52" s="400">
        <f>Q52/Q16</f>
        <v>0.049414532958324736</v>
      </c>
      <c r="S52" s="198"/>
    </row>
    <row r="53" spans="2:18" s="198" customFormat="1" ht="15.75">
      <c r="B53" s="417"/>
      <c r="C53" s="417"/>
      <c r="D53" s="417"/>
      <c r="E53" s="418"/>
      <c r="F53" s="400"/>
      <c r="G53" s="161"/>
      <c r="H53" s="418"/>
      <c r="I53" s="400"/>
      <c r="J53" s="161"/>
      <c r="K53" s="418"/>
      <c r="L53" s="400"/>
      <c r="M53" s="161"/>
      <c r="N53" s="418"/>
      <c r="O53" s="400"/>
      <c r="P53" s="161"/>
      <c r="Q53" s="418"/>
      <c r="R53" s="400"/>
    </row>
    <row r="54" spans="2:18" s="198" customFormat="1" ht="15.75">
      <c r="B54" s="426" t="s">
        <v>426</v>
      </c>
      <c r="C54" s="417"/>
      <c r="D54" s="417"/>
      <c r="E54" s="418"/>
      <c r="F54" s="400"/>
      <c r="G54" s="161"/>
      <c r="H54" s="418"/>
      <c r="I54" s="400"/>
      <c r="J54" s="161"/>
      <c r="K54" s="418"/>
      <c r="L54" s="400"/>
      <c r="M54" s="161"/>
      <c r="N54" s="418"/>
      <c r="O54" s="400"/>
      <c r="P54" s="161"/>
      <c r="Q54" s="418"/>
      <c r="R54" s="400"/>
    </row>
    <row r="55" spans="2:18" s="198" customFormat="1" ht="15.75">
      <c r="B55" s="417" t="s">
        <v>427</v>
      </c>
      <c r="C55" s="417"/>
      <c r="D55" s="417"/>
      <c r="E55" s="481">
        <v>20000</v>
      </c>
      <c r="F55" s="400"/>
      <c r="G55" s="161"/>
      <c r="H55" s="418">
        <f>E59</f>
        <v>15937.72039999989</v>
      </c>
      <c r="I55" s="400"/>
      <c r="J55" s="161"/>
      <c r="K55" s="418">
        <f>H59</f>
        <v>31823.823819999867</v>
      </c>
      <c r="L55" s="400"/>
      <c r="M55" s="161"/>
      <c r="N55" s="418">
        <f>K59</f>
        <v>51204.18441099994</v>
      </c>
      <c r="O55" s="400"/>
      <c r="P55" s="161"/>
      <c r="Q55" s="418">
        <f>N59</f>
        <v>74266.49423154995</v>
      </c>
      <c r="R55" s="400"/>
    </row>
    <row r="56" spans="2:18" s="198" customFormat="1" ht="15.75">
      <c r="B56" s="417" t="s">
        <v>428</v>
      </c>
      <c r="C56" s="417"/>
      <c r="D56" s="417"/>
      <c r="E56" s="418">
        <f>E52</f>
        <v>9565.740399999893</v>
      </c>
      <c r="F56" s="400"/>
      <c r="G56" s="161"/>
      <c r="H56" s="418">
        <f>H52</f>
        <v>31927.89341999998</v>
      </c>
      <c r="I56" s="400"/>
      <c r="J56" s="161"/>
      <c r="K56" s="418">
        <f>K52</f>
        <v>38049.11059100006</v>
      </c>
      <c r="L56" s="400"/>
      <c r="M56" s="161"/>
      <c r="N56" s="418">
        <f>N52</f>
        <v>44590.29982055002</v>
      </c>
      <c r="O56" s="400"/>
      <c r="P56" s="161"/>
      <c r="Q56" s="418">
        <f>Q52</f>
        <v>51581.8248795775</v>
      </c>
      <c r="R56" s="400"/>
    </row>
    <row r="57" spans="2:18" s="198" customFormat="1" ht="15.75">
      <c r="B57" s="417" t="s">
        <v>431</v>
      </c>
      <c r="C57" s="417"/>
      <c r="D57" s="417"/>
      <c r="E57" s="418">
        <f>E48</f>
        <v>13679</v>
      </c>
      <c r="F57" s="400"/>
      <c r="G57" s="161"/>
      <c r="H57" s="418">
        <f>H48</f>
        <v>13679</v>
      </c>
      <c r="I57" s="400"/>
      <c r="J57" s="161"/>
      <c r="K57" s="418">
        <f>K48</f>
        <v>13679</v>
      </c>
      <c r="L57" s="400"/>
      <c r="M57" s="161"/>
      <c r="N57" s="418">
        <f>N48</f>
        <v>13679</v>
      </c>
      <c r="O57" s="400"/>
      <c r="P57" s="161"/>
      <c r="Q57" s="418">
        <f>Q48</f>
        <v>13679</v>
      </c>
      <c r="R57" s="400"/>
    </row>
    <row r="58" spans="2:18" s="198" customFormat="1" ht="15.75">
      <c r="B58" s="417" t="s">
        <v>430</v>
      </c>
      <c r="C58" s="417"/>
      <c r="D58" s="417"/>
      <c r="E58" s="418">
        <f>-E72</f>
        <v>-27307.020000000004</v>
      </c>
      <c r="F58" s="400"/>
      <c r="G58" s="161"/>
      <c r="H58" s="418">
        <f>-H72</f>
        <v>-29720.79</v>
      </c>
      <c r="I58" s="400"/>
      <c r="J58" s="161"/>
      <c r="K58" s="418">
        <f>-K72</f>
        <v>-32347.75</v>
      </c>
      <c r="L58" s="400"/>
      <c r="M58" s="161"/>
      <c r="N58" s="418">
        <f>-N72</f>
        <v>-35206.990000000005</v>
      </c>
      <c r="O58" s="400"/>
      <c r="P58" s="161"/>
      <c r="Q58" s="418">
        <f>-Q72</f>
        <v>-38318.97</v>
      </c>
      <c r="R58" s="400"/>
    </row>
    <row r="59" spans="2:18" s="427" customFormat="1" ht="15.75">
      <c r="B59" s="428" t="s">
        <v>429</v>
      </c>
      <c r="C59" s="428"/>
      <c r="D59" s="428"/>
      <c r="E59" s="429">
        <f>SUM(E55:E58)</f>
        <v>15937.72039999989</v>
      </c>
      <c r="F59" s="430"/>
      <c r="G59" s="431"/>
      <c r="H59" s="429">
        <f>SUM(H55:H58)</f>
        <v>31823.823819999867</v>
      </c>
      <c r="I59" s="430"/>
      <c r="J59" s="431"/>
      <c r="K59" s="429">
        <f>SUM(K55:K58)</f>
        <v>51204.18441099994</v>
      </c>
      <c r="L59" s="430"/>
      <c r="M59" s="431"/>
      <c r="N59" s="429">
        <f>SUM(N55:N58)</f>
        <v>74266.49423154995</v>
      </c>
      <c r="O59" s="430"/>
      <c r="P59" s="431"/>
      <c r="Q59" s="429">
        <f>SUM(Q55:Q58)</f>
        <v>101208.34911112746</v>
      </c>
      <c r="R59" s="430"/>
    </row>
    <row r="60" spans="1:19" ht="15.75">
      <c r="A60" s="119"/>
      <c r="B60" s="20"/>
      <c r="C60" s="20"/>
      <c r="D60" s="20"/>
      <c r="E60" s="119"/>
      <c r="F60" s="398"/>
      <c r="G60" s="119"/>
      <c r="H60" s="119"/>
      <c r="I60" s="398"/>
      <c r="J60" s="119"/>
      <c r="K60" s="119"/>
      <c r="L60" s="398"/>
      <c r="M60" s="119"/>
      <c r="N60" s="119"/>
      <c r="O60" s="398"/>
      <c r="P60" s="119"/>
      <c r="Q60" s="119"/>
      <c r="R60" s="398"/>
      <c r="S60" s="198"/>
    </row>
    <row r="61" spans="1:19" ht="15.75">
      <c r="A61" s="119"/>
      <c r="B61" s="38" t="s">
        <v>231</v>
      </c>
      <c r="C61" s="38"/>
      <c r="D61" s="38"/>
      <c r="E61" s="119"/>
      <c r="F61" s="398"/>
      <c r="G61" s="119"/>
      <c r="H61" s="119"/>
      <c r="I61" s="398"/>
      <c r="J61" s="119"/>
      <c r="K61" s="119"/>
      <c r="L61" s="398"/>
      <c r="M61" s="119"/>
      <c r="N61" s="119"/>
      <c r="O61" s="398"/>
      <c r="P61" s="119"/>
      <c r="Q61" s="119"/>
      <c r="R61" s="398"/>
      <c r="S61" s="198"/>
    </row>
    <row r="62" spans="1:19" s="185" customFormat="1" ht="16.5" thickBot="1">
      <c r="A62" s="168"/>
      <c r="B62" s="154" t="s">
        <v>232</v>
      </c>
      <c r="C62" s="154"/>
      <c r="D62" s="154"/>
      <c r="E62" s="184">
        <f>+E68</f>
        <v>47509.44</v>
      </c>
      <c r="F62" s="400">
        <f>E62/E16</f>
        <v>0.057973691275167785</v>
      </c>
      <c r="G62" s="161"/>
      <c r="H62" s="184">
        <f>+H68</f>
        <v>47509.44</v>
      </c>
      <c r="I62" s="400">
        <f>H62/H16</f>
        <v>0.05268728270814273</v>
      </c>
      <c r="J62" s="161"/>
      <c r="K62" s="184">
        <f>+K68</f>
        <v>47509.44</v>
      </c>
      <c r="L62" s="400">
        <f>K62/K16</f>
        <v>0.050178364483945456</v>
      </c>
      <c r="M62" s="161"/>
      <c r="N62" s="184">
        <f>+N68</f>
        <v>47509.44</v>
      </c>
      <c r="O62" s="400">
        <f>N62/N16</f>
        <v>0.04778891855613853</v>
      </c>
      <c r="P62" s="161"/>
      <c r="Q62" s="184">
        <f>+Q68</f>
        <v>47509.44</v>
      </c>
      <c r="R62" s="400">
        <f>Q62/Q16</f>
        <v>0.04551325576775098</v>
      </c>
      <c r="S62" s="135"/>
    </row>
    <row r="63" spans="1:19" s="196" customFormat="1" ht="16.5" thickBot="1">
      <c r="A63" s="193"/>
      <c r="B63" s="194" t="s">
        <v>233</v>
      </c>
      <c r="C63" s="194"/>
      <c r="D63" s="194"/>
      <c r="E63" s="195">
        <f>+E52/E62</f>
        <v>0.2013439939515156</v>
      </c>
      <c r="F63" s="396"/>
      <c r="H63" s="197">
        <f>+H52/H62</f>
        <v>0.6720326196225419</v>
      </c>
      <c r="I63" s="409"/>
      <c r="J63" s="197"/>
      <c r="K63" s="197">
        <f>+K52/K62</f>
        <v>0.8008747438614318</v>
      </c>
      <c r="L63" s="409"/>
      <c r="M63" s="197"/>
      <c r="N63" s="197">
        <f>+N52/N62</f>
        <v>0.93855662833639</v>
      </c>
      <c r="O63" s="409"/>
      <c r="P63" s="197"/>
      <c r="Q63" s="197">
        <f>+Q52/Q62</f>
        <v>1.0857173833153473</v>
      </c>
      <c r="R63" s="409"/>
      <c r="S63" s="135"/>
    </row>
    <row r="64" spans="1:19" ht="15.75">
      <c r="A64" s="119"/>
      <c r="B64" s="20"/>
      <c r="C64" s="20"/>
      <c r="D64" s="20"/>
      <c r="E64" s="119"/>
      <c r="F64" s="398"/>
      <c r="G64" s="119"/>
      <c r="H64" s="119"/>
      <c r="I64" s="398"/>
      <c r="J64" s="119"/>
      <c r="K64" s="119"/>
      <c r="L64" s="398"/>
      <c r="M64" s="119"/>
      <c r="N64" s="119"/>
      <c r="O64" s="398"/>
      <c r="P64" s="119"/>
      <c r="Q64" s="119"/>
      <c r="R64" s="398"/>
      <c r="S64" s="198"/>
    </row>
    <row r="65" spans="1:19" ht="15.75">
      <c r="A65" s="119"/>
      <c r="B65" s="20"/>
      <c r="C65" s="20"/>
      <c r="D65" s="20"/>
      <c r="E65" s="119"/>
      <c r="F65" s="398"/>
      <c r="G65" s="119"/>
      <c r="H65" s="119"/>
      <c r="I65" s="398"/>
      <c r="J65" s="119"/>
      <c r="K65" s="119"/>
      <c r="L65" s="398"/>
      <c r="M65" s="119"/>
      <c r="N65" s="119"/>
      <c r="O65" s="398"/>
      <c r="P65" s="119"/>
      <c r="Q65" s="119"/>
      <c r="R65" s="398"/>
      <c r="S65" s="198"/>
    </row>
    <row r="66" spans="2:26" ht="15.75">
      <c r="B66" s="38" t="s">
        <v>175</v>
      </c>
      <c r="C66" s="38"/>
      <c r="D66" s="38"/>
      <c r="E66" s="119"/>
      <c r="F66" s="398"/>
      <c r="G66" s="119"/>
      <c r="H66" s="119"/>
      <c r="I66" s="398"/>
      <c r="J66" s="119"/>
      <c r="K66" s="119"/>
      <c r="L66" s="398"/>
      <c r="M66" s="119"/>
      <c r="N66" s="119"/>
      <c r="O66" s="398"/>
      <c r="P66" s="119"/>
      <c r="Q66" s="119"/>
      <c r="R66" s="398"/>
      <c r="S66" s="198"/>
      <c r="T66" s="119"/>
      <c r="U66" s="119"/>
      <c r="V66" s="119"/>
      <c r="W66" s="119"/>
      <c r="X66" s="119"/>
      <c r="Y66" s="119"/>
      <c r="Z66" s="1"/>
    </row>
    <row r="67" spans="2:26" ht="15.75">
      <c r="B67" s="38"/>
      <c r="C67" s="38"/>
      <c r="D67" s="38"/>
      <c r="E67" s="119"/>
      <c r="F67" s="398"/>
      <c r="G67" s="119"/>
      <c r="H67" s="119"/>
      <c r="I67" s="398"/>
      <c r="J67" s="119"/>
      <c r="K67" s="119"/>
      <c r="L67" s="398"/>
      <c r="M67" s="119"/>
      <c r="N67" s="119"/>
      <c r="O67" s="398"/>
      <c r="P67" s="119"/>
      <c r="Q67" s="119"/>
      <c r="R67" s="398"/>
      <c r="S67" s="198"/>
      <c r="T67" s="119"/>
      <c r="U67" s="119"/>
      <c r="V67" s="119"/>
      <c r="W67" s="119"/>
      <c r="X67" s="119"/>
      <c r="Y67" s="119"/>
      <c r="Z67" s="1"/>
    </row>
    <row r="68" spans="1:25" s="188" customFormat="1" ht="15.75">
      <c r="A68" s="186"/>
      <c r="B68" s="187" t="s">
        <v>174</v>
      </c>
      <c r="C68" s="187"/>
      <c r="D68" s="187"/>
      <c r="E68" s="158">
        <v>47509.44</v>
      </c>
      <c r="F68" s="397"/>
      <c r="H68" s="158">
        <v>47509.44</v>
      </c>
      <c r="I68" s="410"/>
      <c r="J68" s="158"/>
      <c r="K68" s="158">
        <v>47509.44</v>
      </c>
      <c r="L68" s="410"/>
      <c r="M68" s="158"/>
      <c r="N68" s="158">
        <v>47509.44</v>
      </c>
      <c r="O68" s="410"/>
      <c r="P68" s="158"/>
      <c r="Q68" s="158">
        <v>47509.44</v>
      </c>
      <c r="R68" s="410"/>
      <c r="S68" s="189"/>
      <c r="T68" s="189"/>
      <c r="U68" s="189"/>
      <c r="V68" s="189"/>
      <c r="W68" s="189"/>
      <c r="X68" s="189"/>
      <c r="Y68" s="190"/>
    </row>
    <row r="69" spans="1:18" ht="12.75">
      <c r="A69" s="119"/>
      <c r="B69" s="119"/>
      <c r="C69" s="119"/>
      <c r="D69" s="119"/>
      <c r="E69" s="119"/>
      <c r="F69" s="398"/>
      <c r="G69" s="119"/>
      <c r="H69" s="119"/>
      <c r="I69" s="398"/>
      <c r="J69" s="119"/>
      <c r="K69" s="119"/>
      <c r="L69" s="398"/>
      <c r="M69" s="119"/>
      <c r="N69" s="119"/>
      <c r="O69" s="398"/>
      <c r="P69" s="119"/>
      <c r="Q69" s="119"/>
      <c r="R69" s="398"/>
    </row>
    <row r="70" spans="1:18" s="351" customFormat="1" ht="12">
      <c r="A70" s="209"/>
      <c r="B70" s="349" t="s">
        <v>421</v>
      </c>
      <c r="C70" s="350"/>
      <c r="D70" s="350"/>
      <c r="E70" s="209"/>
      <c r="F70" s="398"/>
      <c r="G70" s="209"/>
      <c r="H70" s="209"/>
      <c r="I70" s="398"/>
      <c r="J70" s="209"/>
      <c r="K70" s="209"/>
      <c r="L70" s="398"/>
      <c r="M70" s="209"/>
      <c r="N70" s="209"/>
      <c r="O70" s="398"/>
      <c r="P70" s="209"/>
      <c r="Q70" s="209"/>
      <c r="R70" s="398"/>
    </row>
    <row r="71" spans="2:19" s="352" customFormat="1" ht="12">
      <c r="B71" s="353" t="s">
        <v>235</v>
      </c>
      <c r="C71" s="353"/>
      <c r="D71" s="353"/>
      <c r="E71" s="354">
        <v>20202.42</v>
      </c>
      <c r="F71" s="355"/>
      <c r="G71" s="355"/>
      <c r="H71" s="356">
        <v>17788.65</v>
      </c>
      <c r="I71" s="355"/>
      <c r="J71" s="355"/>
      <c r="K71" s="357">
        <v>15161.69</v>
      </c>
      <c r="L71" s="355"/>
      <c r="M71" s="355"/>
      <c r="N71" s="357">
        <v>12302.45</v>
      </c>
      <c r="O71" s="355"/>
      <c r="P71" s="355"/>
      <c r="Q71" s="357">
        <v>9190.47</v>
      </c>
      <c r="R71" s="355"/>
      <c r="S71" s="355">
        <f>+E71+H71+K71+N71+Q71</f>
        <v>74645.68000000001</v>
      </c>
    </row>
    <row r="72" spans="2:19" s="358" customFormat="1" ht="12">
      <c r="B72" s="359" t="s">
        <v>420</v>
      </c>
      <c r="C72" s="360"/>
      <c r="D72" s="360"/>
      <c r="E72" s="361">
        <f>E68-E71</f>
        <v>27307.020000000004</v>
      </c>
      <c r="F72" s="361"/>
      <c r="G72" s="361"/>
      <c r="H72" s="361">
        <f>H68-H71</f>
        <v>29720.79</v>
      </c>
      <c r="I72" s="361"/>
      <c r="J72" s="361"/>
      <c r="K72" s="361">
        <f>K68-K71</f>
        <v>32347.75</v>
      </c>
      <c r="L72" s="361"/>
      <c r="M72" s="361"/>
      <c r="N72" s="361">
        <f>N68-N71</f>
        <v>35206.990000000005</v>
      </c>
      <c r="O72" s="361"/>
      <c r="P72" s="361"/>
      <c r="Q72" s="361">
        <f>Q68-Q71</f>
        <v>38318.97</v>
      </c>
      <c r="R72" s="361"/>
      <c r="S72" s="362">
        <f>+E72+H72+K72+N72+Q72</f>
        <v>162901.52000000002</v>
      </c>
    </row>
    <row r="73" spans="5:19" ht="12.75">
      <c r="E73" s="82"/>
      <c r="F73" s="403"/>
      <c r="G73" s="82"/>
      <c r="H73" s="82"/>
      <c r="I73" s="403"/>
      <c r="J73" s="82"/>
      <c r="K73" s="82"/>
      <c r="L73" s="403"/>
      <c r="M73" s="82"/>
      <c r="N73" s="82"/>
      <c r="O73" s="403"/>
      <c r="P73" s="82"/>
      <c r="Q73" s="82"/>
      <c r="R73" s="403"/>
      <c r="S73" s="202">
        <f>SUM(S71:S72)</f>
        <v>237547.2</v>
      </c>
    </row>
    <row r="74" ht="12.75">
      <c r="B74" t="s">
        <v>302</v>
      </c>
    </row>
    <row r="75" ht="12.75">
      <c r="B75" t="s">
        <v>237</v>
      </c>
    </row>
    <row r="76" ht="12.75">
      <c r="B76" t="s">
        <v>425</v>
      </c>
    </row>
    <row r="77" ht="12.75">
      <c r="B77" t="s">
        <v>424</v>
      </c>
    </row>
    <row r="78" ht="12.75">
      <c r="B78" s="420" t="s">
        <v>352</v>
      </c>
    </row>
    <row r="79" ht="12.75">
      <c r="B79" s="307" t="s">
        <v>353</v>
      </c>
    </row>
    <row r="80" ht="12.75">
      <c r="B80" s="307" t="s">
        <v>354</v>
      </c>
    </row>
    <row r="81" ht="12.75">
      <c r="B81" s="421" t="s">
        <v>367</v>
      </c>
    </row>
    <row r="85" ht="13.5">
      <c r="B85" s="501" t="s">
        <v>457</v>
      </c>
    </row>
    <row r="86" ht="12.75">
      <c r="B86" s="250" t="s">
        <v>455</v>
      </c>
    </row>
    <row r="87" ht="12.75">
      <c r="B87" s="311" t="s">
        <v>456</v>
      </c>
    </row>
  </sheetData>
  <sheetProtection/>
  <printOptions/>
  <pageMargins left="0.75" right="0.75" top="1" bottom="1" header="0.5" footer="0.5"/>
  <pageSetup horizontalDpi="600" verticalDpi="600" orientation="landscape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1" sqref="B1:C4"/>
    </sheetView>
  </sheetViews>
  <sheetFormatPr defaultColWidth="11.421875" defaultRowHeight="12.75"/>
  <cols>
    <col min="1" max="1" width="8.8515625" style="0" customWidth="1"/>
    <col min="2" max="2" width="32.140625" style="0" customWidth="1"/>
    <col min="3" max="3" width="15.421875" style="0" customWidth="1"/>
    <col min="4" max="4" width="12.421875" style="0" customWidth="1"/>
    <col min="5" max="5" width="41.7109375" style="0" customWidth="1"/>
    <col min="6" max="6" width="13.7109375" style="0" customWidth="1"/>
    <col min="7" max="7" width="9.28125" style="0" customWidth="1"/>
    <col min="8" max="8" width="5.7109375" style="231" customWidth="1"/>
    <col min="9" max="12" width="8.8515625" style="0" customWidth="1"/>
    <col min="13" max="13" width="11.00390625" style="0" customWidth="1"/>
    <col min="14" max="16384" width="8.8515625" style="0" customWidth="1"/>
  </cols>
  <sheetData>
    <row r="1" spans="1:4" ht="15.75">
      <c r="A1" s="251"/>
      <c r="B1" s="251"/>
      <c r="C1" s="130"/>
      <c r="D1" s="130"/>
    </row>
    <row r="2" spans="1:4" ht="15.75">
      <c r="A2" s="251"/>
      <c r="B2" s="442"/>
      <c r="C2" s="130"/>
      <c r="D2" s="130"/>
    </row>
    <row r="3" spans="1:4" ht="15.75">
      <c r="A3" s="251"/>
      <c r="B3" s="442"/>
      <c r="D3" s="115"/>
    </row>
    <row r="4" spans="2:4" ht="15.75">
      <c r="B4" s="442"/>
      <c r="D4" s="233"/>
    </row>
    <row r="5" spans="1:5" ht="15.75">
      <c r="A5" s="118"/>
      <c r="E5" s="251"/>
    </row>
    <row r="6" spans="2:3" ht="15.75">
      <c r="B6" s="116" t="s">
        <v>203</v>
      </c>
      <c r="C6" s="117"/>
    </row>
    <row r="8" ht="12.75">
      <c r="B8" s="2" t="s">
        <v>149</v>
      </c>
    </row>
    <row r="9" spans="2:5" ht="12.75">
      <c r="B9" s="112" t="s">
        <v>204</v>
      </c>
      <c r="C9" s="32"/>
      <c r="D9" s="32"/>
      <c r="E9" s="32"/>
    </row>
    <row r="10" spans="3:8" ht="12.75">
      <c r="C10" t="s">
        <v>205</v>
      </c>
      <c r="F10" s="612">
        <v>20000</v>
      </c>
      <c r="H10" s="422"/>
    </row>
    <row r="11" spans="4:8" ht="12.75">
      <c r="D11" s="137" t="s">
        <v>497</v>
      </c>
      <c r="E11" s="137"/>
      <c r="F11" s="613"/>
      <c r="H11" s="422"/>
    </row>
    <row r="12" spans="4:8" ht="12.75">
      <c r="D12" s="137"/>
      <c r="E12" s="137"/>
      <c r="F12" s="613"/>
      <c r="H12" s="422"/>
    </row>
    <row r="13" spans="3:8" ht="12.75">
      <c r="C13" t="s">
        <v>355</v>
      </c>
      <c r="F13" s="614">
        <v>8000</v>
      </c>
      <c r="H13" s="423"/>
    </row>
    <row r="14" spans="4:8" ht="12.75">
      <c r="D14" s="188"/>
      <c r="F14" s="615"/>
      <c r="H14" s="423"/>
    </row>
    <row r="15" spans="2:8" ht="12.75">
      <c r="B15" s="2" t="s">
        <v>150</v>
      </c>
      <c r="E15" s="249"/>
      <c r="F15" s="616">
        <f>SUM(F10:F13)</f>
        <v>28000</v>
      </c>
      <c r="H15" s="424">
        <f>F15/G28</f>
        <v>0.16789288433979122</v>
      </c>
    </row>
    <row r="16" ht="12.75">
      <c r="F16" s="330"/>
    </row>
    <row r="17" spans="2:6" ht="12.75">
      <c r="B17" s="112" t="s">
        <v>206</v>
      </c>
      <c r="C17" s="32"/>
      <c r="D17" s="32"/>
      <c r="E17" s="32"/>
      <c r="F17" s="330"/>
    </row>
    <row r="18" spans="2:9" s="119" customFormat="1" ht="12.75">
      <c r="B18" s="208"/>
      <c r="C18" s="208" t="s">
        <v>536</v>
      </c>
      <c r="D18" s="419"/>
      <c r="E18" s="419"/>
      <c r="F18" s="612">
        <v>970</v>
      </c>
      <c r="H18" s="348"/>
      <c r="I18" s="499"/>
    </row>
    <row r="19" spans="3:9" ht="12.75">
      <c r="C19" s="226" t="s">
        <v>498</v>
      </c>
      <c r="D19" s="226"/>
      <c r="E19" s="226"/>
      <c r="F19" s="617">
        <v>5446</v>
      </c>
      <c r="H19" s="422"/>
      <c r="I19" s="332"/>
    </row>
    <row r="20" spans="3:9" ht="12.75">
      <c r="C20" s="226" t="s">
        <v>534</v>
      </c>
      <c r="D20" s="226"/>
      <c r="E20" s="226"/>
      <c r="F20" s="618">
        <v>83744</v>
      </c>
      <c r="H20" s="422"/>
      <c r="I20" s="332"/>
    </row>
    <row r="21" spans="3:9" ht="12.75">
      <c r="C21" s="226" t="s">
        <v>531</v>
      </c>
      <c r="D21" s="226"/>
      <c r="E21" s="226"/>
      <c r="F21" s="617">
        <v>32613</v>
      </c>
      <c r="H21" s="423"/>
      <c r="I21" s="332"/>
    </row>
    <row r="22" spans="3:9" ht="12.75">
      <c r="C22" t="s">
        <v>282</v>
      </c>
      <c r="F22" s="617">
        <v>4000</v>
      </c>
      <c r="H22" s="422"/>
      <c r="I22" s="332"/>
    </row>
    <row r="23" spans="3:9" ht="12.75">
      <c r="C23" t="s">
        <v>215</v>
      </c>
      <c r="F23" s="617">
        <v>2000</v>
      </c>
      <c r="H23" s="423"/>
      <c r="I23" s="332"/>
    </row>
    <row r="24" spans="3:9" ht="12.75">
      <c r="C24" t="s">
        <v>535</v>
      </c>
      <c r="F24" s="617">
        <v>10000</v>
      </c>
      <c r="H24" s="423"/>
      <c r="I24" s="332"/>
    </row>
    <row r="25" spans="3:8" ht="12.75">
      <c r="C25" s="226" t="s">
        <v>358</v>
      </c>
      <c r="D25" s="226"/>
      <c r="E25" s="188"/>
      <c r="F25" s="619">
        <v>0</v>
      </c>
      <c r="H25" s="423"/>
    </row>
    <row r="26" spans="2:8" ht="12.75">
      <c r="B26" s="2" t="s">
        <v>207</v>
      </c>
      <c r="F26" s="616">
        <f>SUM(F18:F25)</f>
        <v>138773</v>
      </c>
      <c r="H26" s="424">
        <f>+F26/G28</f>
        <v>0.8321071156602088</v>
      </c>
    </row>
    <row r="27" spans="6:8" ht="13.5" thickBot="1">
      <c r="F27" s="330"/>
      <c r="H27" s="422"/>
    </row>
    <row r="28" spans="2:8" ht="13.5" thickBot="1">
      <c r="B28" s="2" t="s">
        <v>151</v>
      </c>
      <c r="F28" s="330"/>
      <c r="G28" s="120">
        <f>+F15+F26</f>
        <v>166773</v>
      </c>
      <c r="H28" s="424">
        <f>+G28/G28</f>
        <v>1</v>
      </c>
    </row>
    <row r="29" spans="1:9" ht="6" customHeight="1">
      <c r="A29" s="114"/>
      <c r="B29" s="114"/>
      <c r="C29" s="114"/>
      <c r="D29" s="114"/>
      <c r="E29" s="114"/>
      <c r="F29" s="620"/>
      <c r="G29" s="114"/>
      <c r="H29" s="425"/>
      <c r="I29" s="114"/>
    </row>
    <row r="30" spans="2:6" ht="12.75">
      <c r="B30" s="112" t="s">
        <v>152</v>
      </c>
      <c r="C30" s="32"/>
      <c r="D30" s="32"/>
      <c r="E30" s="32"/>
      <c r="F30" s="330"/>
    </row>
    <row r="31" spans="1:6" ht="12.75">
      <c r="A31" s="2"/>
      <c r="B31" t="s">
        <v>208</v>
      </c>
      <c r="F31" s="330"/>
    </row>
    <row r="32" spans="1:8" ht="12.75">
      <c r="A32" s="2"/>
      <c r="C32" t="s">
        <v>283</v>
      </c>
      <c r="F32" s="621">
        <v>0</v>
      </c>
      <c r="H32" s="422"/>
    </row>
    <row r="33" spans="1:8" ht="12.75">
      <c r="A33" s="2"/>
      <c r="C33" s="226" t="s">
        <v>153</v>
      </c>
      <c r="D33" s="188"/>
      <c r="F33" s="619">
        <v>0</v>
      </c>
      <c r="H33" s="422"/>
    </row>
    <row r="34" spans="1:8" ht="12.75">
      <c r="A34" s="2"/>
      <c r="C34" s="226" t="s">
        <v>359</v>
      </c>
      <c r="D34" s="188"/>
      <c r="F34" s="622">
        <v>0</v>
      </c>
      <c r="H34" s="422"/>
    </row>
    <row r="35" spans="1:8" ht="12.75">
      <c r="A35" s="2"/>
      <c r="F35" s="330">
        <f>SUM(F32:F34)</f>
        <v>0</v>
      </c>
      <c r="H35" s="422"/>
    </row>
    <row r="36" spans="2:6" ht="12.75">
      <c r="B36" t="s">
        <v>209</v>
      </c>
      <c r="F36" s="330"/>
    </row>
    <row r="37" spans="2:8" ht="12.75">
      <c r="B37" t="s">
        <v>284</v>
      </c>
      <c r="C37" s="125"/>
      <c r="F37" s="614">
        <v>120000</v>
      </c>
      <c r="H37" s="423"/>
    </row>
    <row r="38" spans="2:8" ht="12.75">
      <c r="B38" t="s">
        <v>285</v>
      </c>
      <c r="C38" s="133"/>
      <c r="D38" s="134"/>
      <c r="F38" s="623">
        <f>SUM(F37)</f>
        <v>120000</v>
      </c>
      <c r="H38" s="424">
        <f>+F38/G28</f>
        <v>0.7195409328848195</v>
      </c>
    </row>
    <row r="39" spans="3:6" ht="12.75">
      <c r="C39" s="135"/>
      <c r="D39" s="136"/>
      <c r="F39" s="330"/>
    </row>
    <row r="40" spans="2:8" ht="12.75">
      <c r="B40" s="2" t="s">
        <v>210</v>
      </c>
      <c r="F40" s="616">
        <f>SUM(F32:F37)</f>
        <v>120000</v>
      </c>
      <c r="H40" s="424">
        <f>+F40/G28</f>
        <v>0.7195409328848195</v>
      </c>
    </row>
    <row r="42" ht="12.75">
      <c r="B42" s="157" t="s">
        <v>211</v>
      </c>
    </row>
    <row r="43" spans="3:13" ht="12.75">
      <c r="C43" t="s">
        <v>500</v>
      </c>
      <c r="F43" s="82">
        <v>46773</v>
      </c>
      <c r="H43" s="422"/>
      <c r="I43" s="131"/>
      <c r="J43" s="130"/>
      <c r="K43" s="130"/>
      <c r="L43" s="130"/>
      <c r="M43" s="130"/>
    </row>
    <row r="44" spans="1:13" s="610" customFormat="1" ht="12.75">
      <c r="A44" s="124"/>
      <c r="B44" s="124"/>
      <c r="C44" s="124" t="s">
        <v>360</v>
      </c>
      <c r="D44" s="124"/>
      <c r="E44" s="124"/>
      <c r="F44" s="608">
        <v>0</v>
      </c>
      <c r="G44" s="124"/>
      <c r="H44" s="609"/>
      <c r="M44" s="611"/>
    </row>
    <row r="45" spans="3:13" ht="12.75">
      <c r="C45" s="122" t="s">
        <v>154</v>
      </c>
      <c r="D45" s="122"/>
      <c r="E45" s="122"/>
      <c r="F45" s="123">
        <v>0</v>
      </c>
      <c r="H45" s="423"/>
      <c r="I45" s="130"/>
      <c r="J45" s="130"/>
      <c r="K45" s="130"/>
      <c r="L45" s="130"/>
      <c r="M45" s="132"/>
    </row>
    <row r="46" spans="2:13" ht="12.75">
      <c r="B46" s="2" t="s">
        <v>212</v>
      </c>
      <c r="F46" s="121">
        <f>SUM(F43:F45)</f>
        <v>46773</v>
      </c>
      <c r="H46" s="424">
        <f>+F46/G28</f>
        <v>0.28045906711518054</v>
      </c>
      <c r="I46" s="130"/>
      <c r="J46" s="130"/>
      <c r="K46" s="130"/>
      <c r="L46" s="130"/>
      <c r="M46" s="132"/>
    </row>
    <row r="47" spans="9:13" ht="13.5" thickBot="1">
      <c r="I47" s="130"/>
      <c r="J47" s="130"/>
      <c r="K47" s="130"/>
      <c r="L47" s="130"/>
      <c r="M47" s="132"/>
    </row>
    <row r="48" spans="2:8" ht="13.5" thickBot="1">
      <c r="B48" s="2" t="s">
        <v>286</v>
      </c>
      <c r="G48" s="120">
        <f>+F40+F46</f>
        <v>166773</v>
      </c>
      <c r="H48" s="424">
        <f>+G48/G48</f>
        <v>1</v>
      </c>
    </row>
    <row r="50" ht="12.75">
      <c r="B50" s="234" t="s">
        <v>213</v>
      </c>
    </row>
    <row r="51" ht="12.75">
      <c r="B51" t="s">
        <v>361</v>
      </c>
    </row>
    <row r="52" ht="12.75">
      <c r="B52" t="s">
        <v>501</v>
      </c>
    </row>
    <row r="53" ht="12.75">
      <c r="B53" s="124" t="s">
        <v>502</v>
      </c>
    </row>
    <row r="54" spans="2:5" ht="12.75">
      <c r="B54" s="2" t="s">
        <v>214</v>
      </c>
      <c r="C54" s="226" t="s">
        <v>448</v>
      </c>
      <c r="D54" s="226"/>
      <c r="E54" s="226"/>
    </row>
    <row r="55" spans="2:5" ht="12.75">
      <c r="B55" s="419" t="s">
        <v>537</v>
      </c>
      <c r="C55" s="226"/>
      <c r="D55" s="226"/>
      <c r="E55" s="226"/>
    </row>
    <row r="56" ht="12.75">
      <c r="B56" s="2"/>
    </row>
    <row r="57" spans="2:3" ht="12.75">
      <c r="B57" s="125" t="s">
        <v>533</v>
      </c>
      <c r="C57" s="125"/>
    </row>
    <row r="58" spans="2:5" ht="12.75">
      <c r="B58" s="332" t="s">
        <v>532</v>
      </c>
      <c r="C58" s="130"/>
      <c r="D58" s="130"/>
      <c r="E58" s="132"/>
    </row>
    <row r="59" spans="2:5" ht="12.75">
      <c r="B59" s="130"/>
      <c r="C59" s="130"/>
      <c r="D59" s="130"/>
      <c r="E59" s="132"/>
    </row>
    <row r="60" spans="2:5" ht="12.75">
      <c r="B60" s="130"/>
      <c r="C60" s="130"/>
      <c r="D60" s="130"/>
      <c r="E60" s="132"/>
    </row>
    <row r="61" spans="2:5" ht="12.75">
      <c r="B61" s="130"/>
      <c r="C61" s="130"/>
      <c r="D61" s="130"/>
      <c r="E61" s="132"/>
    </row>
  </sheetData>
  <sheetProtection/>
  <printOptions/>
  <pageMargins left="0.75" right="0.75" top="0.68" bottom="0.44" header="0.5" footer="0.5"/>
  <pageSetup horizontalDpi="600" verticalDpi="6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0">
      <selection activeCell="A66" sqref="A66"/>
    </sheetView>
  </sheetViews>
  <sheetFormatPr defaultColWidth="11.421875" defaultRowHeight="12.75"/>
  <cols>
    <col min="1" max="1" width="51.421875" style="0" customWidth="1"/>
    <col min="2" max="2" width="15.7109375" style="0" customWidth="1"/>
    <col min="3" max="3" width="13.00390625" style="0" customWidth="1"/>
    <col min="4" max="4" width="14.421875" style="0" customWidth="1"/>
    <col min="5" max="16384" width="8.8515625" style="0" customWidth="1"/>
  </cols>
  <sheetData>
    <row r="1" spans="1:11" ht="15.75">
      <c r="A1" s="251"/>
      <c r="B1" s="4"/>
      <c r="F1" s="332"/>
      <c r="G1" s="332"/>
      <c r="H1" s="332"/>
      <c r="I1" s="332"/>
      <c r="J1" s="332"/>
      <c r="K1" s="332"/>
    </row>
    <row r="2" spans="1:11" ht="15.75">
      <c r="A2" s="442"/>
      <c r="B2" s="443"/>
      <c r="F2" s="332"/>
      <c r="G2" s="332"/>
      <c r="H2" s="332"/>
      <c r="I2" s="332"/>
      <c r="J2" s="332"/>
      <c r="K2" s="332"/>
    </row>
    <row r="3" spans="1:11" ht="15.75">
      <c r="A3" s="442"/>
      <c r="B3" s="443"/>
      <c r="F3" s="332"/>
      <c r="G3" s="332"/>
      <c r="H3" s="332"/>
      <c r="I3" s="332"/>
      <c r="J3" s="332"/>
      <c r="K3" s="332"/>
    </row>
    <row r="4" spans="1:11" ht="15.75">
      <c r="A4" s="442"/>
      <c r="B4" s="443"/>
      <c r="F4" s="332"/>
      <c r="G4" s="332"/>
      <c r="H4" s="332"/>
      <c r="I4" s="332"/>
      <c r="J4" s="332"/>
      <c r="K4" s="332"/>
    </row>
    <row r="5" spans="1:11" ht="15.75">
      <c r="A5" s="251"/>
      <c r="B5" s="4"/>
      <c r="F5" s="332"/>
      <c r="G5" s="332"/>
      <c r="H5" s="332"/>
      <c r="I5" s="332"/>
      <c r="J5" s="332"/>
      <c r="K5" s="332"/>
    </row>
    <row r="6" spans="1:11" ht="12.75">
      <c r="A6" s="2" t="s">
        <v>313</v>
      </c>
      <c r="F6" s="332"/>
      <c r="G6" s="332"/>
      <c r="H6" s="332"/>
      <c r="I6" s="332"/>
      <c r="J6" s="332"/>
      <c r="K6" s="332"/>
    </row>
    <row r="7" spans="1:15" ht="12.75">
      <c r="A7" s="313"/>
      <c r="B7" s="316" t="s">
        <v>378</v>
      </c>
      <c r="C7" s="320" t="s">
        <v>195</v>
      </c>
      <c r="D7" s="316" t="s">
        <v>196</v>
      </c>
      <c r="E7" s="320" t="s">
        <v>218</v>
      </c>
      <c r="F7" s="697"/>
      <c r="G7" s="697"/>
      <c r="H7" s="697"/>
      <c r="I7" s="697"/>
      <c r="J7" s="697"/>
      <c r="K7" s="697"/>
      <c r="L7" s="2"/>
      <c r="M7" s="2"/>
      <c r="N7" s="2"/>
      <c r="O7" s="2"/>
    </row>
    <row r="8" spans="1:15" ht="12.75">
      <c r="A8" s="313" t="s">
        <v>201</v>
      </c>
      <c r="B8" s="316" t="s">
        <v>197</v>
      </c>
      <c r="C8" s="320" t="s">
        <v>376</v>
      </c>
      <c r="D8" s="316" t="s">
        <v>197</v>
      </c>
      <c r="E8" s="320"/>
      <c r="F8" s="697"/>
      <c r="G8" s="697"/>
      <c r="H8" s="697"/>
      <c r="I8" s="697"/>
      <c r="J8" s="697"/>
      <c r="K8" s="697"/>
      <c r="L8" s="2"/>
      <c r="M8" s="2"/>
      <c r="N8" s="2"/>
      <c r="O8" s="2"/>
    </row>
    <row r="9" spans="1:11" ht="12.75">
      <c r="A9" s="314" t="s">
        <v>524</v>
      </c>
      <c r="B9" s="326">
        <f>B40-B10</f>
        <v>119272.78</v>
      </c>
      <c r="C9" s="326">
        <v>0</v>
      </c>
      <c r="D9" s="590">
        <f>B9-C9</f>
        <v>119272.78</v>
      </c>
      <c r="E9" s="321">
        <f>D9/D12</f>
        <v>0.8309504299146887</v>
      </c>
      <c r="F9" s="698"/>
      <c r="G9" s="332"/>
      <c r="H9" s="332"/>
      <c r="I9" s="332"/>
      <c r="J9" s="332"/>
      <c r="K9" s="332"/>
    </row>
    <row r="10" spans="1:12" ht="12.75">
      <c r="A10" s="314" t="s">
        <v>525</v>
      </c>
      <c r="B10" s="591">
        <v>50000</v>
      </c>
      <c r="C10" s="591">
        <f>C40</f>
        <v>30735</v>
      </c>
      <c r="D10" s="591">
        <f>B10-C10</f>
        <v>19265</v>
      </c>
      <c r="E10" s="321">
        <f>D10/D12</f>
        <v>0.13421553544997003</v>
      </c>
      <c r="F10" s="332" t="s">
        <v>522</v>
      </c>
      <c r="G10" s="332"/>
      <c r="H10" s="332"/>
      <c r="I10" s="332"/>
      <c r="J10" s="332"/>
      <c r="K10" s="332"/>
      <c r="L10" s="351"/>
    </row>
    <row r="11" spans="1:12" ht="12.75">
      <c r="A11" s="314" t="s">
        <v>526</v>
      </c>
      <c r="B11" s="591">
        <v>5000</v>
      </c>
      <c r="C11" s="591">
        <v>0</v>
      </c>
      <c r="D11" s="591">
        <f>B11-C11</f>
        <v>5000</v>
      </c>
      <c r="E11" s="321">
        <f>D11/D12</f>
        <v>0.0348340346353413</v>
      </c>
      <c r="F11" s="332"/>
      <c r="G11" s="332"/>
      <c r="H11" s="332"/>
      <c r="I11" s="332"/>
      <c r="J11" s="332"/>
      <c r="K11" s="332"/>
      <c r="L11" s="351"/>
    </row>
    <row r="12" spans="1:15" ht="12.75">
      <c r="A12" s="313" t="s">
        <v>17</v>
      </c>
      <c r="B12" s="592">
        <f>SUM(B9:B11)</f>
        <v>174272.78</v>
      </c>
      <c r="C12" s="592">
        <f>SUM(C9:C11)</f>
        <v>30735</v>
      </c>
      <c r="D12" s="592">
        <f>B12-C12</f>
        <v>143537.78</v>
      </c>
      <c r="E12" s="322">
        <f>D12/D12</f>
        <v>1</v>
      </c>
      <c r="F12" s="697"/>
      <c r="G12" s="697"/>
      <c r="H12" s="697"/>
      <c r="I12" s="697"/>
      <c r="J12" s="697"/>
      <c r="K12" s="697"/>
      <c r="L12" s="607"/>
      <c r="M12" s="2"/>
      <c r="N12" s="2"/>
      <c r="O12" s="2"/>
    </row>
    <row r="13" spans="1:12" ht="12.75">
      <c r="A13" s="314"/>
      <c r="B13" s="591"/>
      <c r="C13" s="591"/>
      <c r="D13" s="591"/>
      <c r="E13" s="323"/>
      <c r="F13" s="332"/>
      <c r="G13" s="332"/>
      <c r="H13" s="332"/>
      <c r="I13" s="332"/>
      <c r="J13" s="332"/>
      <c r="K13" s="332"/>
      <c r="L13" s="351"/>
    </row>
    <row r="14" spans="1:12" ht="12.75">
      <c r="A14" s="314"/>
      <c r="B14" s="591"/>
      <c r="C14" s="591"/>
      <c r="D14" s="591"/>
      <c r="E14" s="323"/>
      <c r="F14" s="332"/>
      <c r="G14" s="332"/>
      <c r="H14" s="332"/>
      <c r="I14" s="332"/>
      <c r="J14" s="332"/>
      <c r="K14" s="332"/>
      <c r="L14" s="351"/>
    </row>
    <row r="15" spans="1:15" ht="12.75">
      <c r="A15" s="313" t="s">
        <v>202</v>
      </c>
      <c r="B15" s="483" t="s">
        <v>194</v>
      </c>
      <c r="C15" s="593" t="s">
        <v>195</v>
      </c>
      <c r="D15" s="483" t="s">
        <v>196</v>
      </c>
      <c r="E15" s="320"/>
      <c r="F15" s="697"/>
      <c r="G15" s="697"/>
      <c r="H15" s="697"/>
      <c r="I15" s="697"/>
      <c r="J15" s="697"/>
      <c r="K15" s="697"/>
      <c r="L15" s="607"/>
      <c r="M15" s="2"/>
      <c r="N15" s="2"/>
      <c r="O15" s="2"/>
    </row>
    <row r="16" spans="1:15" ht="12.75">
      <c r="A16" s="313"/>
      <c r="B16" s="483" t="s">
        <v>197</v>
      </c>
      <c r="C16" s="593" t="s">
        <v>376</v>
      </c>
      <c r="D16" s="483" t="s">
        <v>197</v>
      </c>
      <c r="E16" s="320"/>
      <c r="F16" s="697"/>
      <c r="G16" s="697"/>
      <c r="H16" s="697"/>
      <c r="I16" s="697"/>
      <c r="J16" s="697"/>
      <c r="K16" s="697"/>
      <c r="L16" s="607"/>
      <c r="M16" s="2"/>
      <c r="N16" s="2"/>
      <c r="O16" s="2"/>
    </row>
    <row r="17" spans="1:12" ht="12.75">
      <c r="A17" s="314"/>
      <c r="B17" s="318"/>
      <c r="C17" s="318"/>
      <c r="D17" s="318"/>
      <c r="E17" s="323"/>
      <c r="F17" s="332"/>
      <c r="G17" s="332"/>
      <c r="H17" s="332"/>
      <c r="I17" s="332"/>
      <c r="J17" s="332"/>
      <c r="K17" s="332"/>
      <c r="L17" s="351"/>
    </row>
    <row r="18" spans="1:12" ht="12.75">
      <c r="A18" s="313" t="s">
        <v>468</v>
      </c>
      <c r="B18" s="595">
        <v>40000</v>
      </c>
      <c r="C18" s="595">
        <v>4500</v>
      </c>
      <c r="D18" s="318">
        <f>B18-C18</f>
        <v>35500</v>
      </c>
      <c r="E18" s="321">
        <f>D18/D12</f>
        <v>0.24732164591092323</v>
      </c>
      <c r="F18" s="332" t="s">
        <v>554</v>
      </c>
      <c r="G18" s="332"/>
      <c r="H18" s="332"/>
      <c r="I18" s="332"/>
      <c r="J18" s="332"/>
      <c r="K18" s="332"/>
      <c r="L18" s="351"/>
    </row>
    <row r="19" spans="1:12" ht="12.75">
      <c r="A19" s="314" t="s">
        <v>557</v>
      </c>
      <c r="B19" s="594">
        <v>3394</v>
      </c>
      <c r="C19" s="594">
        <v>3394</v>
      </c>
      <c r="D19" s="318">
        <f aca="true" t="shared" si="0" ref="D19:D40">B19-C19</f>
        <v>0</v>
      </c>
      <c r="E19" s="321">
        <f>D19/D12</f>
        <v>0</v>
      </c>
      <c r="F19" s="332" t="s">
        <v>555</v>
      </c>
      <c r="G19" s="332"/>
      <c r="H19" s="332"/>
      <c r="I19" s="332"/>
      <c r="J19" s="332"/>
      <c r="K19" s="332"/>
      <c r="L19" s="351"/>
    </row>
    <row r="20" spans="1:12" ht="12.75">
      <c r="A20" s="314" t="s">
        <v>290</v>
      </c>
      <c r="B20" s="594">
        <v>500</v>
      </c>
      <c r="C20" s="595">
        <v>0</v>
      </c>
      <c r="D20" s="318">
        <f t="shared" si="0"/>
        <v>500</v>
      </c>
      <c r="E20" s="321">
        <f>D20/D12</f>
        <v>0.0034834034635341303</v>
      </c>
      <c r="F20" s="332"/>
      <c r="G20" s="332"/>
      <c r="H20" s="332"/>
      <c r="I20" s="332"/>
      <c r="J20" s="332"/>
      <c r="K20" s="332"/>
      <c r="L20" s="351"/>
    </row>
    <row r="21" spans="1:12" ht="12.75">
      <c r="A21" s="314" t="s">
        <v>291</v>
      </c>
      <c r="B21" s="594">
        <v>1500</v>
      </c>
      <c r="C21" s="594">
        <v>300</v>
      </c>
      <c r="D21" s="318">
        <f t="shared" si="0"/>
        <v>1200</v>
      </c>
      <c r="E21" s="321">
        <f>D21/D12</f>
        <v>0.008360168312481913</v>
      </c>
      <c r="F21" s="332"/>
      <c r="G21" s="332"/>
      <c r="H21" s="332"/>
      <c r="I21" s="332"/>
      <c r="J21" s="332"/>
      <c r="K21" s="332"/>
      <c r="L21" s="351"/>
    </row>
    <row r="22" spans="1:12" ht="12.75">
      <c r="A22" s="314" t="s">
        <v>467</v>
      </c>
      <c r="B22" s="594">
        <v>15350</v>
      </c>
      <c r="C22" s="594">
        <v>5075</v>
      </c>
      <c r="D22" s="318">
        <f t="shared" si="0"/>
        <v>10275</v>
      </c>
      <c r="E22" s="321">
        <f>D22/D12</f>
        <v>0.07158394117562637</v>
      </c>
      <c r="F22" s="332" t="s">
        <v>556</v>
      </c>
      <c r="G22" s="332"/>
      <c r="H22" s="332"/>
      <c r="I22" s="332"/>
      <c r="J22" s="332"/>
      <c r="K22" s="332"/>
      <c r="L22" s="351"/>
    </row>
    <row r="23" spans="1:12" ht="12.75">
      <c r="A23" s="596" t="s">
        <v>465</v>
      </c>
      <c r="B23" s="595">
        <v>5000</v>
      </c>
      <c r="C23" s="595">
        <v>0</v>
      </c>
      <c r="D23" s="318">
        <f t="shared" si="0"/>
        <v>5000</v>
      </c>
      <c r="E23" s="321">
        <f>D23/D12</f>
        <v>0.0348340346353413</v>
      </c>
      <c r="F23" s="332" t="s">
        <v>519</v>
      </c>
      <c r="G23" s="332"/>
      <c r="H23" s="332"/>
      <c r="I23" s="332"/>
      <c r="J23" s="332"/>
      <c r="K23" s="332"/>
      <c r="L23" s="351"/>
    </row>
    <row r="24" spans="1:12" ht="12.75">
      <c r="A24" s="596" t="s">
        <v>466</v>
      </c>
      <c r="B24" s="594">
        <v>13000</v>
      </c>
      <c r="C24" s="594">
        <v>6000</v>
      </c>
      <c r="D24" s="318">
        <f t="shared" si="0"/>
        <v>7000</v>
      </c>
      <c r="E24" s="321">
        <f>D24/D12</f>
        <v>0.04876764848947782</v>
      </c>
      <c r="F24" s="332"/>
      <c r="G24" s="332"/>
      <c r="H24" s="332"/>
      <c r="I24" s="332"/>
      <c r="J24" s="332"/>
      <c r="K24" s="332"/>
      <c r="L24" s="351"/>
    </row>
    <row r="25" spans="1:12" ht="12.75">
      <c r="A25" s="596"/>
      <c r="B25" s="326"/>
      <c r="C25" s="326"/>
      <c r="D25" s="318"/>
      <c r="E25" s="321"/>
      <c r="F25" s="332"/>
      <c r="G25" s="332"/>
      <c r="H25" s="332"/>
      <c r="I25" s="332"/>
      <c r="J25" s="332"/>
      <c r="K25" s="332"/>
      <c r="L25" s="351"/>
    </row>
    <row r="26" spans="1:12" ht="12.75">
      <c r="A26" s="596" t="s">
        <v>380</v>
      </c>
      <c r="B26" s="326">
        <v>30612.78</v>
      </c>
      <c r="C26" s="326">
        <v>0</v>
      </c>
      <c r="D26" s="318">
        <f t="shared" si="0"/>
        <v>30612.78</v>
      </c>
      <c r="E26" s="321">
        <f>D26/D12</f>
        <v>0.2132733277608167</v>
      </c>
      <c r="F26" s="699" t="s">
        <v>516</v>
      </c>
      <c r="G26" s="332"/>
      <c r="H26" s="332"/>
      <c r="I26" s="332"/>
      <c r="J26" s="332"/>
      <c r="K26" s="332"/>
      <c r="L26" s="351"/>
    </row>
    <row r="27" spans="1:12" ht="12.75">
      <c r="A27" s="596" t="s">
        <v>381</v>
      </c>
      <c r="B27" s="326">
        <v>4000</v>
      </c>
      <c r="C27" s="326">
        <v>4000</v>
      </c>
      <c r="D27" s="318">
        <f t="shared" si="0"/>
        <v>0</v>
      </c>
      <c r="E27" s="321">
        <f>D27/D12</f>
        <v>0</v>
      </c>
      <c r="F27" s="699" t="s">
        <v>518</v>
      </c>
      <c r="G27" s="332"/>
      <c r="H27" s="332"/>
      <c r="I27" s="332"/>
      <c r="J27" s="332"/>
      <c r="K27" s="332"/>
      <c r="L27" s="351"/>
    </row>
    <row r="28" spans="1:12" ht="12.75">
      <c r="A28" s="596" t="s">
        <v>295</v>
      </c>
      <c r="B28" s="326">
        <v>2000</v>
      </c>
      <c r="C28" s="326">
        <v>0</v>
      </c>
      <c r="D28" s="318">
        <f t="shared" si="0"/>
        <v>2000</v>
      </c>
      <c r="E28" s="321">
        <f>D28/D12</f>
        <v>0.013933613854136521</v>
      </c>
      <c r="F28" s="332"/>
      <c r="G28" s="332"/>
      <c r="H28" s="332"/>
      <c r="I28" s="332"/>
      <c r="J28" s="332"/>
      <c r="K28" s="332"/>
      <c r="L28" s="351"/>
    </row>
    <row r="29" spans="1:12" ht="12.75">
      <c r="A29" s="596" t="s">
        <v>296</v>
      </c>
      <c r="B29" s="326">
        <v>970</v>
      </c>
      <c r="C29" s="326">
        <v>970</v>
      </c>
      <c r="D29" s="318">
        <f t="shared" si="0"/>
        <v>0</v>
      </c>
      <c r="E29" s="321">
        <f>D29/D12</f>
        <v>0</v>
      </c>
      <c r="F29" s="332"/>
      <c r="G29" s="332"/>
      <c r="H29" s="332"/>
      <c r="I29" s="332"/>
      <c r="J29" s="332"/>
      <c r="K29" s="332"/>
      <c r="L29" s="351"/>
    </row>
    <row r="30" spans="1:12" ht="12.75">
      <c r="A30" s="596" t="s">
        <v>356</v>
      </c>
      <c r="B30" s="326">
        <v>8000</v>
      </c>
      <c r="C30" s="326">
        <v>0</v>
      </c>
      <c r="D30" s="318">
        <f t="shared" si="0"/>
        <v>8000</v>
      </c>
      <c r="E30" s="321">
        <f>D30/D12</f>
        <v>0.055734455416546085</v>
      </c>
      <c r="F30" s="332"/>
      <c r="G30" s="332"/>
      <c r="H30" s="332"/>
      <c r="I30" s="332"/>
      <c r="J30" s="332"/>
      <c r="K30" s="332"/>
      <c r="L30" s="351"/>
    </row>
    <row r="31" spans="1:12" ht="12.75">
      <c r="A31" s="596" t="s">
        <v>469</v>
      </c>
      <c r="B31" s="326">
        <v>5000</v>
      </c>
      <c r="C31" s="326">
        <v>0</v>
      </c>
      <c r="D31" s="318">
        <f t="shared" si="0"/>
        <v>5000</v>
      </c>
      <c r="E31" s="321">
        <f>D31/D12</f>
        <v>0.0348340346353413</v>
      </c>
      <c r="F31" s="332"/>
      <c r="G31" s="332"/>
      <c r="H31" s="332"/>
      <c r="I31" s="332"/>
      <c r="J31" s="332"/>
      <c r="K31" s="332"/>
      <c r="L31" s="351"/>
    </row>
    <row r="32" spans="1:12" ht="12.75">
      <c r="A32" s="596" t="s">
        <v>312</v>
      </c>
      <c r="B32" s="506">
        <v>5446</v>
      </c>
      <c r="C32" s="326">
        <v>5446</v>
      </c>
      <c r="D32" s="318">
        <f t="shared" si="0"/>
        <v>0</v>
      </c>
      <c r="E32" s="321">
        <f>D32/D12</f>
        <v>0</v>
      </c>
      <c r="F32" s="700"/>
      <c r="G32" s="332"/>
      <c r="H32" s="332"/>
      <c r="I32" s="332"/>
      <c r="J32" s="332"/>
      <c r="K32" s="332"/>
      <c r="L32" s="351"/>
    </row>
    <row r="33" spans="1:12" ht="12.75">
      <c r="A33" s="596" t="s">
        <v>199</v>
      </c>
      <c r="B33" s="326">
        <v>1500</v>
      </c>
      <c r="C33" s="326">
        <v>550</v>
      </c>
      <c r="D33" s="318">
        <f t="shared" si="0"/>
        <v>950</v>
      </c>
      <c r="E33" s="321">
        <f>D33/D12</f>
        <v>0.006618466580714848</v>
      </c>
      <c r="F33" s="332" t="s">
        <v>520</v>
      </c>
      <c r="G33" s="332"/>
      <c r="H33" s="332"/>
      <c r="I33" s="332"/>
      <c r="J33" s="332"/>
      <c r="K33" s="332"/>
      <c r="L33" s="351"/>
    </row>
    <row r="34" spans="1:12" ht="12.75">
      <c r="A34" s="596" t="s">
        <v>198</v>
      </c>
      <c r="B34" s="326">
        <v>1000</v>
      </c>
      <c r="C34" s="326">
        <v>500</v>
      </c>
      <c r="D34" s="318">
        <f t="shared" si="0"/>
        <v>500</v>
      </c>
      <c r="E34" s="321">
        <f>D34/D12</f>
        <v>0.0034834034635341303</v>
      </c>
      <c r="F34" s="332"/>
      <c r="G34" s="332"/>
      <c r="H34" s="332"/>
      <c r="I34" s="332"/>
      <c r="J34" s="332"/>
      <c r="K34" s="332"/>
      <c r="L34" s="351"/>
    </row>
    <row r="35" spans="1:12" ht="12.75">
      <c r="A35" s="596" t="s">
        <v>200</v>
      </c>
      <c r="B35" s="326">
        <v>2000</v>
      </c>
      <c r="C35" s="326">
        <v>0</v>
      </c>
      <c r="D35" s="318">
        <f t="shared" si="0"/>
        <v>2000</v>
      </c>
      <c r="E35" s="321">
        <f>D35/D12</f>
        <v>0.013933613854136521</v>
      </c>
      <c r="F35" s="699" t="s">
        <v>521</v>
      </c>
      <c r="G35" s="332"/>
      <c r="H35" s="332"/>
      <c r="I35" s="332"/>
      <c r="J35" s="332"/>
      <c r="K35" s="332"/>
      <c r="L35" s="351"/>
    </row>
    <row r="36" spans="1:5" ht="12.75">
      <c r="A36" s="596"/>
      <c r="B36" s="326"/>
      <c r="C36" s="326"/>
      <c r="D36" s="318"/>
      <c r="E36" s="321"/>
    </row>
    <row r="37" spans="1:5" ht="12.75">
      <c r="A37" s="596" t="s">
        <v>297</v>
      </c>
      <c r="B37" s="326">
        <v>20000</v>
      </c>
      <c r="C37" s="326">
        <v>0</v>
      </c>
      <c r="D37" s="318">
        <f t="shared" si="0"/>
        <v>20000</v>
      </c>
      <c r="E37" s="321">
        <f>D37/D12</f>
        <v>0.1393361385413652</v>
      </c>
    </row>
    <row r="38" spans="1:6" ht="12.75">
      <c r="A38" s="597" t="s">
        <v>517</v>
      </c>
      <c r="B38" s="326">
        <v>10000</v>
      </c>
      <c r="C38" s="326">
        <v>0</v>
      </c>
      <c r="D38" s="318">
        <f t="shared" si="0"/>
        <v>10000</v>
      </c>
      <c r="E38" s="321">
        <f>D38/D12</f>
        <v>0.0696680692706826</v>
      </c>
      <c r="F38" s="231"/>
    </row>
    <row r="39" spans="1:5" ht="12.75">
      <c r="A39" s="314"/>
      <c r="B39" s="318"/>
      <c r="C39" s="318"/>
      <c r="D39" s="318"/>
      <c r="E39" s="323"/>
    </row>
    <row r="40" spans="1:15" ht="12.75">
      <c r="A40" s="313" t="s">
        <v>193</v>
      </c>
      <c r="B40" s="327">
        <f>SUM(B18:B39)</f>
        <v>169272.78</v>
      </c>
      <c r="C40" s="327">
        <f>SUM(C18:C39)</f>
        <v>30735</v>
      </c>
      <c r="D40" s="327">
        <f t="shared" si="0"/>
        <v>138537.78</v>
      </c>
      <c r="E40" s="322">
        <f>SUM(E18:E39)</f>
        <v>0.9651659653646586</v>
      </c>
      <c r="F40" s="2"/>
      <c r="G40" s="2"/>
      <c r="H40" s="2"/>
      <c r="I40" s="2"/>
      <c r="J40" s="2"/>
      <c r="K40" s="2"/>
      <c r="L40" s="2"/>
      <c r="M40" s="2"/>
      <c r="N40" s="2"/>
      <c r="O40" s="2"/>
    </row>
    <row r="41" ht="12.75">
      <c r="H41" s="598"/>
    </row>
    <row r="42" spans="1:8" ht="12.75">
      <c r="A42" t="s">
        <v>486</v>
      </c>
      <c r="E42" s="511"/>
      <c r="H42" s="599"/>
    </row>
    <row r="43" spans="1:8" ht="12.75">
      <c r="A43" s="324" t="s">
        <v>470</v>
      </c>
      <c r="H43" s="599"/>
    </row>
    <row r="44" spans="1:9" ht="12.75">
      <c r="A44" t="s">
        <v>527</v>
      </c>
      <c r="H44" s="599"/>
      <c r="I44" s="198"/>
    </row>
    <row r="45" spans="8:9" ht="12.75">
      <c r="H45" s="599"/>
      <c r="I45" s="507"/>
    </row>
    <row r="46" spans="1:9" ht="12.75">
      <c r="A46" s="310" t="s">
        <v>362</v>
      </c>
      <c r="H46" s="598"/>
      <c r="I46" s="508"/>
    </row>
    <row r="47" spans="8:11" ht="12.75">
      <c r="H47" s="599"/>
      <c r="I47" s="509"/>
      <c r="K47" s="263"/>
    </row>
    <row r="48" spans="1:11" ht="12.75">
      <c r="A48" s="185" t="s">
        <v>529</v>
      </c>
      <c r="C48" s="214"/>
      <c r="H48" s="600"/>
      <c r="I48" s="508"/>
      <c r="K48" s="598"/>
    </row>
    <row r="49" spans="1:11" ht="12.75">
      <c r="A49" t="s">
        <v>514</v>
      </c>
      <c r="B49" s="309"/>
      <c r="C49" s="601">
        <v>30612.78</v>
      </c>
      <c r="I49" s="508"/>
      <c r="K49" s="599"/>
    </row>
    <row r="50" spans="1:11" ht="12.75">
      <c r="A50" t="s">
        <v>499</v>
      </c>
      <c r="B50" s="309"/>
      <c r="C50" s="138">
        <v>8000</v>
      </c>
      <c r="I50" s="508"/>
      <c r="K50" s="599"/>
    </row>
    <row r="51" spans="1:11" ht="12.75">
      <c r="A51" s="124" t="s">
        <v>523</v>
      </c>
      <c r="B51" s="309"/>
      <c r="C51" s="602">
        <v>80000</v>
      </c>
      <c r="I51" s="510"/>
      <c r="K51" s="599"/>
    </row>
    <row r="52" spans="1:11" ht="13.5" thickBot="1">
      <c r="A52" s="262" t="s">
        <v>383</v>
      </c>
      <c r="B52" s="328"/>
      <c r="C52" s="329">
        <v>4000</v>
      </c>
      <c r="I52" s="509"/>
      <c r="K52" s="599"/>
    </row>
    <row r="53" spans="1:11" ht="12.75">
      <c r="A53" s="2" t="s">
        <v>364</v>
      </c>
      <c r="B53" s="309"/>
      <c r="C53" s="121">
        <f>SUM(C49:C52)</f>
        <v>122612.78</v>
      </c>
      <c r="I53" s="82"/>
      <c r="K53" s="598"/>
    </row>
    <row r="54" ht="12.75">
      <c r="K54" s="599"/>
    </row>
    <row r="55" spans="1:11" ht="12.75">
      <c r="A55" s="298" t="s">
        <v>530</v>
      </c>
      <c r="C55" s="214"/>
      <c r="K55" s="253"/>
    </row>
    <row r="56" spans="1:11" ht="12.75">
      <c r="A56" t="s">
        <v>393</v>
      </c>
      <c r="B56" s="309"/>
      <c r="C56" s="202">
        <v>1408000</v>
      </c>
      <c r="D56" t="s">
        <v>488</v>
      </c>
      <c r="K56" s="253"/>
    </row>
    <row r="57" spans="1:11" ht="12.75">
      <c r="A57" s="2" t="s">
        <v>435</v>
      </c>
      <c r="C57" s="603">
        <v>678098</v>
      </c>
      <c r="D57" t="s">
        <v>436</v>
      </c>
      <c r="K57" s="253"/>
    </row>
    <row r="58" ht="12.75">
      <c r="K58" s="600"/>
    </row>
    <row r="60" spans="1:4" ht="12.75">
      <c r="A60" s="298" t="s">
        <v>487</v>
      </c>
      <c r="B60" s="2" t="s">
        <v>386</v>
      </c>
      <c r="C60" s="2" t="s">
        <v>388</v>
      </c>
      <c r="D60" s="2" t="s">
        <v>387</v>
      </c>
    </row>
    <row r="61" spans="1:6" ht="12.75">
      <c r="A61" t="s">
        <v>571</v>
      </c>
      <c r="B61" s="330">
        <v>500000</v>
      </c>
      <c r="C61" s="330">
        <v>190390</v>
      </c>
      <c r="D61" s="330">
        <f>B61-C61</f>
        <v>309610</v>
      </c>
      <c r="F61" s="309"/>
    </row>
    <row r="62" spans="1:4" ht="12.75">
      <c r="A62" t="s">
        <v>572</v>
      </c>
      <c r="B62" s="330">
        <v>297900</v>
      </c>
      <c r="C62" s="330">
        <v>241878</v>
      </c>
      <c r="D62" s="330">
        <f>B62-C62</f>
        <v>56022</v>
      </c>
    </row>
    <row r="63" spans="1:6" ht="13.5" thickBot="1">
      <c r="A63" s="262" t="s">
        <v>573</v>
      </c>
      <c r="B63" s="604">
        <v>500700</v>
      </c>
      <c r="C63" s="604">
        <v>285930</v>
      </c>
      <c r="D63" s="331">
        <f>B63-C63</f>
        <v>214770</v>
      </c>
      <c r="F63" s="308"/>
    </row>
    <row r="64" spans="1:4" ht="12.75">
      <c r="A64" s="2" t="s">
        <v>389</v>
      </c>
      <c r="B64" s="605">
        <f>SUM(B61:B63)</f>
        <v>1298600</v>
      </c>
      <c r="C64" s="330">
        <f>SUM(C61:C63)</f>
        <v>718198</v>
      </c>
      <c r="D64" s="334">
        <f>SUM(D61:D63)</f>
        <v>580402</v>
      </c>
    </row>
    <row r="66" ht="12.75">
      <c r="A66" s="516" t="s">
        <v>391</v>
      </c>
    </row>
    <row r="67" ht="12.75">
      <c r="A67" t="s">
        <v>528</v>
      </c>
    </row>
    <row r="69" ht="12.75">
      <c r="A69" s="606" t="s">
        <v>468</v>
      </c>
    </row>
    <row r="70" ht="12.75">
      <c r="A70" t="s">
        <v>553</v>
      </c>
    </row>
  </sheetData>
  <sheetProtection/>
  <printOptions/>
  <pageMargins left="0.18" right="0.16" top="0.44" bottom="0.16" header="0.41" footer="0.17"/>
  <pageSetup horizontalDpi="600" verticalDpi="600" orientation="landscape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E69" sqref="E69"/>
    </sheetView>
  </sheetViews>
  <sheetFormatPr defaultColWidth="11.421875" defaultRowHeight="12.75"/>
  <cols>
    <col min="1" max="1" width="8.8515625" style="0" customWidth="1"/>
    <col min="2" max="2" width="42.28125" style="0" customWidth="1"/>
    <col min="3" max="3" width="12.7109375" style="0" customWidth="1"/>
    <col min="4" max="4" width="10.7109375" style="0" customWidth="1"/>
    <col min="5" max="5" width="13.28125" style="0" customWidth="1"/>
    <col min="6" max="6" width="7.421875" style="0" customWidth="1"/>
    <col min="7" max="7" width="15.00390625" style="0" customWidth="1"/>
    <col min="8" max="16384" width="8.8515625" style="0" customWidth="1"/>
  </cols>
  <sheetData>
    <row r="1" spans="1:2" ht="12.75">
      <c r="A1" s="2"/>
      <c r="B1" s="2"/>
    </row>
    <row r="3" spans="2:3" ht="15.75">
      <c r="B3" s="251"/>
      <c r="C3" s="4"/>
    </row>
    <row r="4" spans="2:5" ht="15.75">
      <c r="B4" s="442"/>
      <c r="C4" s="443"/>
      <c r="E4" s="523" t="s">
        <v>503</v>
      </c>
    </row>
    <row r="5" spans="2:3" ht="15.75">
      <c r="B5" s="442"/>
      <c r="C5" s="443"/>
    </row>
    <row r="6" spans="2:3" ht="15.75">
      <c r="B6" s="442"/>
      <c r="C6" s="443"/>
    </row>
    <row r="7" spans="2:3" ht="15.75">
      <c r="B7" s="251"/>
      <c r="C7" s="4"/>
    </row>
    <row r="8" ht="12.75">
      <c r="B8" s="2" t="s">
        <v>313</v>
      </c>
    </row>
    <row r="9" spans="2:6" s="2" customFormat="1" ht="12.75">
      <c r="B9" s="313"/>
      <c r="C9" s="316" t="s">
        <v>378</v>
      </c>
      <c r="D9" s="317" t="s">
        <v>195</v>
      </c>
      <c r="E9" s="316" t="s">
        <v>196</v>
      </c>
      <c r="F9" s="320" t="s">
        <v>218</v>
      </c>
    </row>
    <row r="10" spans="2:6" s="2" customFormat="1" ht="12.75">
      <c r="B10" s="313" t="s">
        <v>201</v>
      </c>
      <c r="C10" s="316" t="s">
        <v>197</v>
      </c>
      <c r="D10" s="317" t="s">
        <v>376</v>
      </c>
      <c r="E10" s="316" t="s">
        <v>197</v>
      </c>
      <c r="F10" s="320"/>
    </row>
    <row r="11" spans="2:7" ht="12.75">
      <c r="B11" s="314" t="s">
        <v>287</v>
      </c>
      <c r="C11" s="318">
        <f>C43-C13</f>
        <v>305385</v>
      </c>
      <c r="D11" s="318"/>
      <c r="E11" s="482">
        <f>C11-D11</f>
        <v>305385</v>
      </c>
      <c r="F11" s="321">
        <f>E11/E14</f>
        <v>0.8357896465372142</v>
      </c>
      <c r="G11" s="324" t="s">
        <v>418</v>
      </c>
    </row>
    <row r="12" spans="2:7" ht="12.75">
      <c r="B12" s="315" t="s">
        <v>453</v>
      </c>
      <c r="C12" s="488"/>
      <c r="D12" s="488"/>
      <c r="E12" s="489"/>
      <c r="F12" s="321"/>
      <c r="G12" s="324"/>
    </row>
    <row r="13" spans="2:7" ht="12.75">
      <c r="B13" s="314" t="s">
        <v>288</v>
      </c>
      <c r="C13" s="318">
        <v>64000</v>
      </c>
      <c r="D13" s="326">
        <v>4000</v>
      </c>
      <c r="E13" s="318">
        <f>C13-D13</f>
        <v>60000</v>
      </c>
      <c r="F13" s="321">
        <f>E13/E14</f>
        <v>0.16421035346278584</v>
      </c>
      <c r="G13" t="s">
        <v>379</v>
      </c>
    </row>
    <row r="14" spans="2:6" s="2" customFormat="1" ht="12.75">
      <c r="B14" s="313" t="s">
        <v>17</v>
      </c>
      <c r="C14" s="327">
        <f>SUM(C11:C13)</f>
        <v>369385</v>
      </c>
      <c r="D14" s="327">
        <f>SUM(D13)</f>
        <v>4000</v>
      </c>
      <c r="E14" s="327">
        <f>C14-D14</f>
        <v>365385</v>
      </c>
      <c r="F14" s="322">
        <f>E14/E14</f>
        <v>1</v>
      </c>
    </row>
    <row r="15" spans="2:6" ht="12.75">
      <c r="B15" s="314"/>
      <c r="C15" s="318"/>
      <c r="D15" s="318"/>
      <c r="E15" s="318"/>
      <c r="F15" s="323"/>
    </row>
    <row r="16" spans="2:6" ht="12.75">
      <c r="B16" s="314"/>
      <c r="C16" s="318"/>
      <c r="D16" s="318"/>
      <c r="E16" s="318"/>
      <c r="F16" s="323"/>
    </row>
    <row r="17" spans="2:6" s="2" customFormat="1" ht="12.75">
      <c r="B17" s="313" t="s">
        <v>202</v>
      </c>
      <c r="C17" s="483" t="s">
        <v>194</v>
      </c>
      <c r="D17" s="484" t="s">
        <v>195</v>
      </c>
      <c r="E17" s="483" t="s">
        <v>196</v>
      </c>
      <c r="F17" s="320"/>
    </row>
    <row r="18" spans="2:6" s="2" customFormat="1" ht="12.75">
      <c r="B18" s="313"/>
      <c r="C18" s="483" t="s">
        <v>197</v>
      </c>
      <c r="D18" s="484" t="s">
        <v>376</v>
      </c>
      <c r="E18" s="483" t="s">
        <v>197</v>
      </c>
      <c r="F18" s="320"/>
    </row>
    <row r="19" spans="2:6" ht="12.75">
      <c r="B19" s="314"/>
      <c r="C19" s="318"/>
      <c r="D19" s="318"/>
      <c r="E19" s="318"/>
      <c r="F19" s="323"/>
    </row>
    <row r="20" spans="2:7" ht="12.75">
      <c r="B20" s="313" t="s">
        <v>314</v>
      </c>
      <c r="C20" s="319">
        <v>180000</v>
      </c>
      <c r="D20" s="318"/>
      <c r="E20" s="318">
        <f>C20-D20</f>
        <v>180000</v>
      </c>
      <c r="F20" s="321">
        <f>E20/E14</f>
        <v>0.49263106038835747</v>
      </c>
      <c r="G20" s="325" t="s">
        <v>451</v>
      </c>
    </row>
    <row r="21" spans="2:6" ht="12.75">
      <c r="B21" s="314" t="s">
        <v>289</v>
      </c>
      <c r="C21" s="487">
        <v>40000</v>
      </c>
      <c r="D21" s="487">
        <v>4000</v>
      </c>
      <c r="E21" s="318">
        <f aca="true" t="shared" si="0" ref="E21:E43">C21-D21</f>
        <v>36000</v>
      </c>
      <c r="F21" s="321">
        <f>E21/E14</f>
        <v>0.0985262120776715</v>
      </c>
    </row>
    <row r="22" spans="2:6" ht="12.75">
      <c r="B22" s="314" t="s">
        <v>290</v>
      </c>
      <c r="C22" s="485"/>
      <c r="D22" s="485"/>
      <c r="E22" s="318">
        <f t="shared" si="0"/>
        <v>0</v>
      </c>
      <c r="F22" s="321">
        <f>E22/E14</f>
        <v>0</v>
      </c>
    </row>
    <row r="23" spans="2:6" ht="12.75">
      <c r="B23" s="314" t="s">
        <v>291</v>
      </c>
      <c r="C23" s="485"/>
      <c r="D23" s="485"/>
      <c r="E23" s="318">
        <f t="shared" si="0"/>
        <v>0</v>
      </c>
      <c r="F23" s="321">
        <f>E23/E14</f>
        <v>0</v>
      </c>
    </row>
    <row r="24" spans="2:6" ht="12.75">
      <c r="B24" s="314" t="s">
        <v>292</v>
      </c>
      <c r="C24" s="485"/>
      <c r="D24" s="485"/>
      <c r="E24" s="318">
        <f t="shared" si="0"/>
        <v>0</v>
      </c>
      <c r="F24" s="321">
        <f>E24/E14</f>
        <v>0</v>
      </c>
    </row>
    <row r="25" spans="2:6" ht="12.75">
      <c r="B25" s="314"/>
      <c r="C25" s="318"/>
      <c r="D25" s="318"/>
      <c r="E25" s="318"/>
      <c r="F25" s="321">
        <f>E25/E27</f>
        <v>0</v>
      </c>
    </row>
    <row r="26" spans="2:7" ht="12.75">
      <c r="B26" s="315" t="s">
        <v>293</v>
      </c>
      <c r="C26" s="318"/>
      <c r="D26" s="318"/>
      <c r="E26" s="318">
        <f t="shared" si="0"/>
        <v>0</v>
      </c>
      <c r="F26" s="321">
        <f>E26/E14</f>
        <v>0</v>
      </c>
      <c r="G26" s="441" t="s">
        <v>434</v>
      </c>
    </row>
    <row r="27" spans="2:7" ht="12.75">
      <c r="B27" s="314" t="s">
        <v>380</v>
      </c>
      <c r="C27" s="319">
        <v>75000</v>
      </c>
      <c r="D27" s="318"/>
      <c r="E27" s="318">
        <f t="shared" si="0"/>
        <v>75000</v>
      </c>
      <c r="F27" s="321">
        <f>E27/E14</f>
        <v>0.2052629418284823</v>
      </c>
      <c r="G27" s="441" t="s">
        <v>382</v>
      </c>
    </row>
    <row r="28" spans="2:7" ht="12.75">
      <c r="B28" s="314" t="s">
        <v>381</v>
      </c>
      <c r="C28" s="319">
        <v>4000</v>
      </c>
      <c r="D28" s="318">
        <v>4000</v>
      </c>
      <c r="E28" s="318">
        <f t="shared" si="0"/>
        <v>0</v>
      </c>
      <c r="F28" s="321">
        <f>E28/E14</f>
        <v>0</v>
      </c>
      <c r="G28" s="441" t="s">
        <v>294</v>
      </c>
    </row>
    <row r="29" spans="2:6" ht="12.75">
      <c r="B29" s="314" t="s">
        <v>295</v>
      </c>
      <c r="C29" s="318"/>
      <c r="D29" s="318"/>
      <c r="E29" s="318">
        <f t="shared" si="0"/>
        <v>0</v>
      </c>
      <c r="F29" s="321">
        <f>E29/E14</f>
        <v>0</v>
      </c>
    </row>
    <row r="30" spans="2:7" ht="12.75">
      <c r="B30" s="315" t="s">
        <v>296</v>
      </c>
      <c r="C30" s="318"/>
      <c r="D30" s="318"/>
      <c r="E30" s="318">
        <f t="shared" si="0"/>
        <v>0</v>
      </c>
      <c r="F30" s="321">
        <f>E30/E14</f>
        <v>0</v>
      </c>
      <c r="G30" s="325" t="s">
        <v>385</v>
      </c>
    </row>
    <row r="31" spans="2:6" ht="12.75">
      <c r="B31" s="314" t="s">
        <v>356</v>
      </c>
      <c r="C31" s="318">
        <v>5000</v>
      </c>
      <c r="D31" s="318"/>
      <c r="E31" s="318">
        <f t="shared" si="0"/>
        <v>5000</v>
      </c>
      <c r="F31" s="321">
        <f>E31/E14</f>
        <v>0.013684196121898818</v>
      </c>
    </row>
    <row r="32" spans="2:6" ht="12.75">
      <c r="B32" s="314"/>
      <c r="C32" s="318"/>
      <c r="D32" s="318"/>
      <c r="E32" s="318"/>
      <c r="F32" s="321">
        <f>E32/E14</f>
        <v>0</v>
      </c>
    </row>
    <row r="33" spans="2:7" ht="12.75">
      <c r="B33" s="315" t="s">
        <v>312</v>
      </c>
      <c r="C33" s="486">
        <v>5200</v>
      </c>
      <c r="D33" s="318"/>
      <c r="E33" s="318">
        <f t="shared" si="0"/>
        <v>5200</v>
      </c>
      <c r="F33" s="321">
        <f>E33/E14</f>
        <v>0.014231563966774772</v>
      </c>
      <c r="G33" s="308" t="s">
        <v>419</v>
      </c>
    </row>
    <row r="34" spans="2:6" ht="12.75">
      <c r="B34" s="314" t="s">
        <v>199</v>
      </c>
      <c r="C34" s="318">
        <v>1500</v>
      </c>
      <c r="D34" s="318"/>
      <c r="E34" s="318">
        <f t="shared" si="0"/>
        <v>1500</v>
      </c>
      <c r="F34" s="321">
        <f>E34/E14</f>
        <v>0.004105258836569646</v>
      </c>
    </row>
    <row r="35" spans="2:6" ht="12.75">
      <c r="B35" s="314" t="s">
        <v>198</v>
      </c>
      <c r="C35" s="318">
        <v>1000</v>
      </c>
      <c r="D35" s="318"/>
      <c r="E35" s="318">
        <f t="shared" si="0"/>
        <v>1000</v>
      </c>
      <c r="F35" s="321">
        <f>E35/E14</f>
        <v>0.002736839224379764</v>
      </c>
    </row>
    <row r="36" spans="2:6" ht="12.75">
      <c r="B36" s="314" t="s">
        <v>238</v>
      </c>
      <c r="C36" s="318"/>
      <c r="D36" s="318"/>
      <c r="E36" s="318">
        <f t="shared" si="0"/>
        <v>0</v>
      </c>
      <c r="F36" s="321">
        <f>E36/E14</f>
        <v>0</v>
      </c>
    </row>
    <row r="37" spans="2:7" ht="12.75">
      <c r="B37" s="314" t="s">
        <v>200</v>
      </c>
      <c r="C37" s="318">
        <v>2000</v>
      </c>
      <c r="D37" s="318"/>
      <c r="E37" s="318">
        <f t="shared" si="0"/>
        <v>2000</v>
      </c>
      <c r="F37" s="321">
        <f>E37/E14</f>
        <v>0.005473678448759528</v>
      </c>
      <c r="G37" s="451" t="s">
        <v>442</v>
      </c>
    </row>
    <row r="38" spans="2:6" ht="12.75">
      <c r="B38" s="314"/>
      <c r="C38" s="318"/>
      <c r="D38" s="318"/>
      <c r="E38" s="318"/>
      <c r="F38" s="321">
        <f>E38/E14</f>
        <v>0</v>
      </c>
    </row>
    <row r="39" spans="2:6" ht="12.75">
      <c r="B39" s="314" t="s">
        <v>297</v>
      </c>
      <c r="C39" s="318">
        <v>20000</v>
      </c>
      <c r="D39" s="318"/>
      <c r="E39" s="318">
        <f t="shared" si="0"/>
        <v>20000</v>
      </c>
      <c r="F39" s="321">
        <f>E39/E14</f>
        <v>0.05473678448759527</v>
      </c>
    </row>
    <row r="40" spans="2:7" ht="12.75">
      <c r="B40" s="315" t="s">
        <v>377</v>
      </c>
      <c r="C40" s="319">
        <v>19000</v>
      </c>
      <c r="D40" s="318"/>
      <c r="E40" s="318">
        <f t="shared" si="0"/>
        <v>19000</v>
      </c>
      <c r="F40" s="321">
        <f>E40/E14</f>
        <v>0.05199994526321551</v>
      </c>
      <c r="G40" s="231" t="s">
        <v>439</v>
      </c>
    </row>
    <row r="41" spans="2:7" ht="12.75">
      <c r="B41" s="315" t="s">
        <v>459</v>
      </c>
      <c r="C41" s="319">
        <v>16685</v>
      </c>
      <c r="D41" s="318"/>
      <c r="E41" s="318">
        <f t="shared" si="0"/>
        <v>16685</v>
      </c>
      <c r="F41" s="321">
        <f>E41/E14</f>
        <v>0.04566416245877636</v>
      </c>
      <c r="G41" s="231" t="s">
        <v>458</v>
      </c>
    </row>
    <row r="42" spans="2:6" ht="12.75">
      <c r="B42" s="314"/>
      <c r="C42" s="318"/>
      <c r="D42" s="318"/>
      <c r="E42" s="318"/>
      <c r="F42" s="323"/>
    </row>
    <row r="43" spans="2:6" s="2" customFormat="1" ht="12.75">
      <c r="B43" s="313" t="s">
        <v>193</v>
      </c>
      <c r="C43" s="327">
        <f>SUM(C20:C42)</f>
        <v>369385</v>
      </c>
      <c r="D43" s="327">
        <v>4000</v>
      </c>
      <c r="E43" s="327">
        <f t="shared" si="0"/>
        <v>365385</v>
      </c>
      <c r="F43" s="322">
        <f>E43/E14</f>
        <v>1</v>
      </c>
    </row>
    <row r="45" ht="12.75">
      <c r="B45" t="s">
        <v>315</v>
      </c>
    </row>
    <row r="46" ht="12.75">
      <c r="B46" s="250" t="s">
        <v>452</v>
      </c>
    </row>
    <row r="49" ht="12.75">
      <c r="B49" s="310" t="s">
        <v>362</v>
      </c>
    </row>
    <row r="51" spans="2:4" ht="12.75">
      <c r="B51" s="185" t="s">
        <v>363</v>
      </c>
      <c r="D51" s="214"/>
    </row>
    <row r="52" spans="2:5" ht="12.75">
      <c r="B52" t="s">
        <v>384</v>
      </c>
      <c r="C52" s="309" t="s">
        <v>357</v>
      </c>
      <c r="D52" s="82">
        <v>80000</v>
      </c>
      <c r="E52" t="s">
        <v>385</v>
      </c>
    </row>
    <row r="53" spans="2:4" ht="12.75">
      <c r="B53" s="250" t="s">
        <v>438</v>
      </c>
      <c r="C53" s="309"/>
      <c r="D53" s="129">
        <v>162500</v>
      </c>
    </row>
    <row r="54" spans="2:4" ht="13.5" thickBot="1">
      <c r="B54" s="262" t="s">
        <v>383</v>
      </c>
      <c r="C54" s="328"/>
      <c r="D54" s="329">
        <v>4000</v>
      </c>
    </row>
    <row r="55" spans="2:4" ht="12.75">
      <c r="B55" s="2" t="s">
        <v>364</v>
      </c>
      <c r="C55" s="309"/>
      <c r="D55" s="202">
        <f>SUM(D52:D54)</f>
        <v>246500</v>
      </c>
    </row>
    <row r="57" spans="2:4" ht="12.75">
      <c r="B57" s="298" t="s">
        <v>365</v>
      </c>
      <c r="D57" s="214"/>
    </row>
    <row r="58" spans="2:5" ht="12.75">
      <c r="B58" t="s">
        <v>393</v>
      </c>
      <c r="C58" s="309"/>
      <c r="D58" s="129">
        <v>1408000</v>
      </c>
      <c r="E58" t="s">
        <v>394</v>
      </c>
    </row>
    <row r="59" spans="2:5" ht="12.75">
      <c r="B59" s="2" t="s">
        <v>435</v>
      </c>
      <c r="D59" s="232">
        <v>678098</v>
      </c>
      <c r="E59" t="s">
        <v>436</v>
      </c>
    </row>
    <row r="62" spans="2:5" ht="12.75">
      <c r="B62" s="298" t="s">
        <v>390</v>
      </c>
      <c r="C62" s="2" t="s">
        <v>386</v>
      </c>
      <c r="D62" s="2" t="s">
        <v>388</v>
      </c>
      <c r="E62" s="2" t="s">
        <v>387</v>
      </c>
    </row>
    <row r="63" spans="2:7" ht="12.75">
      <c r="B63" t="s">
        <v>558</v>
      </c>
      <c r="C63" s="330">
        <v>500000</v>
      </c>
      <c r="D63" s="330">
        <v>190390</v>
      </c>
      <c r="E63" s="330">
        <f>C63-D63</f>
        <v>309610</v>
      </c>
      <c r="G63" s="309"/>
    </row>
    <row r="64" spans="2:5" ht="12.75">
      <c r="B64" t="s">
        <v>559</v>
      </c>
      <c r="C64" s="330">
        <v>297900</v>
      </c>
      <c r="D64" s="330">
        <v>241878</v>
      </c>
      <c r="E64" s="330">
        <f>C64-D64</f>
        <v>56022</v>
      </c>
    </row>
    <row r="65" spans="2:7" ht="13.5" thickBot="1">
      <c r="B65" s="262" t="s">
        <v>560</v>
      </c>
      <c r="C65" s="333">
        <v>500700</v>
      </c>
      <c r="D65" s="333">
        <v>285930</v>
      </c>
      <c r="E65" s="331">
        <f>C65-D65</f>
        <v>214770</v>
      </c>
      <c r="G65" s="308" t="s">
        <v>437</v>
      </c>
    </row>
    <row r="66" spans="2:5" ht="12.75">
      <c r="B66" s="2" t="s">
        <v>389</v>
      </c>
      <c r="C66" s="330">
        <f>SUM(C63:C65)</f>
        <v>1298600</v>
      </c>
      <c r="D66" s="330">
        <f>SUM(D63:D65)</f>
        <v>718198</v>
      </c>
      <c r="E66" s="334">
        <f>SUM(E63:E65)</f>
        <v>580402</v>
      </c>
    </row>
    <row r="68" ht="12.75">
      <c r="B68" s="332" t="s">
        <v>391</v>
      </c>
    </row>
    <row r="69" ht="12.75">
      <c r="B69" t="s">
        <v>392</v>
      </c>
    </row>
  </sheetData>
  <sheetProtection/>
  <printOptions/>
  <pageMargins left="0.22" right="0.16" top="0.28" bottom="1.27" header="0.32" footer="0.5"/>
  <pageSetup horizontalDpi="600" verticalDpi="600" orientation="landscape" paperSize="3" scale="120"/>
</worksheet>
</file>

<file path=xl/worksheets/sheet9.xml><?xml version="1.0" encoding="utf-8"?>
<worksheet xmlns="http://schemas.openxmlformats.org/spreadsheetml/2006/main" xmlns:r="http://schemas.openxmlformats.org/officeDocument/2006/relationships">
  <dimension ref="A2:AI68"/>
  <sheetViews>
    <sheetView zoomScalePageLayoutView="0" workbookViewId="0" topLeftCell="A1">
      <selection activeCell="B61" sqref="B61"/>
    </sheetView>
  </sheetViews>
  <sheetFormatPr defaultColWidth="11.421875" defaultRowHeight="12.75"/>
  <cols>
    <col min="1" max="1" width="8.8515625" style="0" customWidth="1"/>
    <col min="2" max="2" width="70.140625" style="0" customWidth="1"/>
    <col min="3" max="3" width="14.7109375" style="0" customWidth="1"/>
    <col min="4" max="4" width="15.421875" style="0" customWidth="1"/>
    <col min="5" max="5" width="14.8515625" style="0" customWidth="1"/>
    <col min="6" max="6" width="15.421875" style="0" customWidth="1"/>
    <col min="7" max="7" width="15.7109375" style="0" customWidth="1"/>
    <col min="8" max="8" width="14.421875" style="0" customWidth="1"/>
    <col min="9" max="9" width="15.00390625" style="0" customWidth="1"/>
    <col min="10" max="10" width="16.28125" style="0" customWidth="1"/>
    <col min="11" max="11" width="16.421875" style="0" customWidth="1"/>
    <col min="12" max="12" width="15.00390625" style="0" customWidth="1"/>
    <col min="13" max="13" width="17.28125" style="0" customWidth="1"/>
    <col min="14" max="15" width="16.140625" style="0" customWidth="1"/>
    <col min="16" max="16" width="15.28125" style="0" customWidth="1"/>
    <col min="17" max="17" width="17.00390625" style="0" customWidth="1"/>
    <col min="18" max="18" width="13.140625" style="0" customWidth="1"/>
    <col min="19" max="16384" width="8.8515625" style="0" customWidth="1"/>
  </cols>
  <sheetData>
    <row r="2" spans="1:23" ht="19.5">
      <c r="A2" s="653"/>
      <c r="B2" s="654"/>
      <c r="C2" s="11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2"/>
      <c r="P2" s="6"/>
      <c r="Q2" s="4"/>
      <c r="R2" s="5"/>
      <c r="S2" s="4"/>
      <c r="T2" s="4"/>
      <c r="U2" s="4"/>
      <c r="V2" s="4"/>
      <c r="W2" s="4"/>
    </row>
    <row r="3" spans="1:23" ht="15.75">
      <c r="A3" s="44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42"/>
      <c r="P3" s="6"/>
      <c r="Q3" s="4"/>
      <c r="R3" s="5"/>
      <c r="S3" s="4"/>
      <c r="T3" s="4"/>
      <c r="U3" s="4"/>
      <c r="V3" s="4"/>
      <c r="W3" s="4"/>
    </row>
    <row r="4" spans="1:23" ht="15.75">
      <c r="A4" s="44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42"/>
      <c r="P4" s="6"/>
      <c r="Q4" s="4"/>
      <c r="R4" s="5"/>
      <c r="S4" s="4"/>
      <c r="T4" s="4"/>
      <c r="U4" s="4"/>
      <c r="V4" s="4"/>
      <c r="W4" s="4"/>
    </row>
    <row r="5" spans="1:23" ht="19.5">
      <c r="A5" s="109" t="s">
        <v>504</v>
      </c>
      <c r="B5" s="110"/>
      <c r="C5" s="110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"/>
      <c r="S5" s="4"/>
      <c r="T5" s="4"/>
      <c r="U5" s="4"/>
      <c r="V5" s="4"/>
      <c r="W5" s="4"/>
    </row>
    <row r="6" spans="1:23" ht="19.5">
      <c r="A6" s="442"/>
      <c r="B6" s="110"/>
      <c r="C6" s="110"/>
      <c r="D6" s="4"/>
      <c r="E6" s="3"/>
      <c r="F6" s="3"/>
      <c r="G6" s="3"/>
      <c r="H6" s="3"/>
      <c r="I6" s="3"/>
      <c r="J6" s="3"/>
      <c r="K6" s="3"/>
      <c r="L6" s="3"/>
      <c r="M6" s="6"/>
      <c r="N6" s="6"/>
      <c r="O6" s="6"/>
      <c r="P6" s="3"/>
      <c r="Q6" s="3"/>
      <c r="R6" s="5"/>
      <c r="S6" s="4"/>
      <c r="T6" s="4"/>
      <c r="U6" s="4"/>
      <c r="V6" s="4"/>
      <c r="W6" s="4"/>
    </row>
    <row r="7" s="540" customFormat="1" ht="12.75">
      <c r="R7" s="541"/>
    </row>
    <row r="8" spans="2:23" ht="19.5">
      <c r="B8" s="110"/>
      <c r="C8" s="110"/>
      <c r="D8" s="107" t="s">
        <v>540</v>
      </c>
      <c r="F8" s="10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5"/>
      <c r="S8" s="4"/>
      <c r="T8" s="4"/>
      <c r="U8" s="4"/>
      <c r="V8" s="4"/>
      <c r="W8" s="4"/>
    </row>
    <row r="9" spans="1:23" ht="19.5">
      <c r="A9" s="442"/>
      <c r="B9" s="110"/>
      <c r="C9" s="542" t="s">
        <v>506</v>
      </c>
      <c r="D9" s="7" t="s">
        <v>8</v>
      </c>
      <c r="E9" s="3" t="s">
        <v>9</v>
      </c>
      <c r="F9" s="7" t="s">
        <v>10</v>
      </c>
      <c r="G9" s="3" t="s">
        <v>11</v>
      </c>
      <c r="H9" s="7" t="s">
        <v>12</v>
      </c>
      <c r="I9" s="3" t="s">
        <v>13</v>
      </c>
      <c r="J9" s="7" t="s">
        <v>14</v>
      </c>
      <c r="K9" s="3" t="s">
        <v>15</v>
      </c>
      <c r="L9" s="7" t="s">
        <v>16</v>
      </c>
      <c r="M9" s="6" t="s">
        <v>5</v>
      </c>
      <c r="N9" s="7" t="s">
        <v>6</v>
      </c>
      <c r="O9" s="3" t="s">
        <v>7</v>
      </c>
      <c r="P9" s="7" t="s">
        <v>17</v>
      </c>
      <c r="Q9" s="3"/>
      <c r="R9" s="5"/>
      <c r="S9" s="4"/>
      <c r="T9" s="4"/>
      <c r="U9" s="4"/>
      <c r="V9" s="4"/>
      <c r="W9" s="4"/>
    </row>
    <row r="10" spans="1:23" ht="15.75">
      <c r="A10" s="4"/>
      <c r="B10" s="3" t="s">
        <v>189</v>
      </c>
      <c r="C10" s="543"/>
      <c r="D10" s="111">
        <v>20000</v>
      </c>
      <c r="E10" s="18">
        <f>D58</f>
        <v>22180.611733000012</v>
      </c>
      <c r="F10" s="17">
        <f aca="true" t="shared" si="0" ref="F10:O10">E58</f>
        <v>31053.460611000002</v>
      </c>
      <c r="G10" s="18">
        <f t="shared" si="0"/>
        <v>41896.294759</v>
      </c>
      <c r="H10" s="17">
        <f t="shared" si="0"/>
        <v>56240.505907</v>
      </c>
      <c r="I10" s="18">
        <f t="shared" si="0"/>
        <v>65025.82036000001</v>
      </c>
      <c r="J10" s="17">
        <f t="shared" si="0"/>
        <v>73898.66923800002</v>
      </c>
      <c r="K10" s="18">
        <f t="shared" si="0"/>
        <v>81677.798511</v>
      </c>
      <c r="L10" s="17">
        <f t="shared" si="0"/>
        <v>89456.927784</v>
      </c>
      <c r="M10" s="18">
        <f t="shared" si="0"/>
        <v>98733.356432</v>
      </c>
      <c r="N10" s="17">
        <f t="shared" si="0"/>
        <v>98021.64648</v>
      </c>
      <c r="O10" s="18">
        <f t="shared" si="0"/>
        <v>100848.170128</v>
      </c>
      <c r="P10" s="26">
        <v>20000</v>
      </c>
      <c r="Q10" s="536"/>
      <c r="R10" s="5"/>
      <c r="S10" s="4"/>
      <c r="T10" s="4"/>
      <c r="U10" s="4"/>
      <c r="V10" s="4"/>
      <c r="W10" s="4"/>
    </row>
    <row r="11" spans="1:23" ht="19.5">
      <c r="A11" s="442"/>
      <c r="B11" s="110"/>
      <c r="C11" s="544"/>
      <c r="D11" s="31"/>
      <c r="E11" s="3"/>
      <c r="F11" s="7"/>
      <c r="G11" s="3"/>
      <c r="H11" s="7"/>
      <c r="I11" s="3"/>
      <c r="J11" s="7"/>
      <c r="K11" s="3"/>
      <c r="L11" s="7"/>
      <c r="M11" s="3"/>
      <c r="N11" s="7"/>
      <c r="O11" s="3"/>
      <c r="P11" s="7"/>
      <c r="Q11" s="3"/>
      <c r="R11" s="5"/>
      <c r="S11" s="4"/>
      <c r="T11" s="4"/>
      <c r="U11" s="4"/>
      <c r="V11" s="4"/>
      <c r="W11" s="4"/>
    </row>
    <row r="12" spans="1:23" ht="15.75">
      <c r="A12" s="442"/>
      <c r="B12" s="56" t="s">
        <v>155</v>
      </c>
      <c r="C12" s="545"/>
      <c r="D12" s="31"/>
      <c r="E12" s="3"/>
      <c r="F12" s="7"/>
      <c r="G12" s="3"/>
      <c r="H12" s="7"/>
      <c r="I12" s="3"/>
      <c r="J12" s="7"/>
      <c r="K12" s="3"/>
      <c r="L12" s="7"/>
      <c r="M12" s="3"/>
      <c r="N12" s="7"/>
      <c r="O12" s="3"/>
      <c r="P12" s="7"/>
      <c r="Q12" s="3"/>
      <c r="R12" s="5"/>
      <c r="S12" s="4"/>
      <c r="T12" s="4"/>
      <c r="U12" s="4"/>
      <c r="V12" s="4"/>
      <c r="W12" s="4"/>
    </row>
    <row r="13" spans="1:23" ht="15.75">
      <c r="A13" s="442"/>
      <c r="B13" s="12" t="s">
        <v>18</v>
      </c>
      <c r="C13" s="546">
        <v>39583</v>
      </c>
      <c r="D13" s="31">
        <v>34299</v>
      </c>
      <c r="E13" s="3">
        <v>41562</v>
      </c>
      <c r="F13" s="7">
        <v>43700</v>
      </c>
      <c r="G13" s="3">
        <v>47500</v>
      </c>
      <c r="H13" s="7">
        <v>41467</v>
      </c>
      <c r="I13" s="3">
        <v>41562</v>
      </c>
      <c r="J13" s="7">
        <v>40375</v>
      </c>
      <c r="K13" s="3">
        <v>40375</v>
      </c>
      <c r="L13" s="7">
        <v>42000</v>
      </c>
      <c r="M13" s="3">
        <v>31160</v>
      </c>
      <c r="N13" s="7">
        <v>35000</v>
      </c>
      <c r="O13" s="3">
        <v>36000</v>
      </c>
      <c r="P13" s="7">
        <f>SUM(D13:O13)</f>
        <v>475000</v>
      </c>
      <c r="Q13" s="3"/>
      <c r="R13" s="5"/>
      <c r="S13" s="4"/>
      <c r="T13" s="4"/>
      <c r="U13" s="4"/>
      <c r="V13" s="4"/>
      <c r="W13" s="4"/>
    </row>
    <row r="14" spans="1:23" s="188" customFormat="1" ht="15.75">
      <c r="A14" s="251"/>
      <c r="B14" s="582" t="s">
        <v>304</v>
      </c>
      <c r="C14" s="583">
        <f>C13*0.35</f>
        <v>13854.05</v>
      </c>
      <c r="D14" s="584">
        <f>D13*0.35</f>
        <v>12004.65</v>
      </c>
      <c r="E14" s="585">
        <f aca="true" t="shared" si="1" ref="E14:O14">E13*0.35</f>
        <v>14546.699999999999</v>
      </c>
      <c r="F14" s="584">
        <f t="shared" si="1"/>
        <v>15294.999999999998</v>
      </c>
      <c r="G14" s="585">
        <f t="shared" si="1"/>
        <v>16625</v>
      </c>
      <c r="H14" s="584">
        <f t="shared" si="1"/>
        <v>14513.449999999999</v>
      </c>
      <c r="I14" s="585">
        <f t="shared" si="1"/>
        <v>14546.699999999999</v>
      </c>
      <c r="J14" s="584">
        <f t="shared" si="1"/>
        <v>14131.25</v>
      </c>
      <c r="K14" s="585">
        <f t="shared" si="1"/>
        <v>14131.25</v>
      </c>
      <c r="L14" s="584">
        <f t="shared" si="1"/>
        <v>14699.999999999998</v>
      </c>
      <c r="M14" s="585">
        <f t="shared" si="1"/>
        <v>10906</v>
      </c>
      <c r="N14" s="584">
        <f t="shared" si="1"/>
        <v>12250</v>
      </c>
      <c r="O14" s="585">
        <f t="shared" si="1"/>
        <v>12600</v>
      </c>
      <c r="P14" s="584">
        <f>P13*0.35</f>
        <v>166250</v>
      </c>
      <c r="Q14" s="251"/>
      <c r="R14" s="586"/>
      <c r="S14" s="587"/>
      <c r="T14" s="587"/>
      <c r="U14" s="587"/>
      <c r="V14" s="587"/>
      <c r="W14" s="587"/>
    </row>
    <row r="15" spans="1:23" s="188" customFormat="1" ht="15.75">
      <c r="A15" s="251"/>
      <c r="B15" s="582" t="s">
        <v>305</v>
      </c>
      <c r="C15" s="583">
        <f>C13*0.12</f>
        <v>4749.96</v>
      </c>
      <c r="D15" s="584">
        <f aca="true" t="shared" si="2" ref="D15:P15">D13*0.12</f>
        <v>4115.88</v>
      </c>
      <c r="E15" s="585">
        <f t="shared" si="2"/>
        <v>4987.44</v>
      </c>
      <c r="F15" s="584">
        <f t="shared" si="2"/>
        <v>5244</v>
      </c>
      <c r="G15" s="585">
        <f t="shared" si="2"/>
        <v>5700</v>
      </c>
      <c r="H15" s="584">
        <f t="shared" si="2"/>
        <v>4976.04</v>
      </c>
      <c r="I15" s="585">
        <f t="shared" si="2"/>
        <v>4987.44</v>
      </c>
      <c r="J15" s="584">
        <f t="shared" si="2"/>
        <v>4845</v>
      </c>
      <c r="K15" s="585">
        <f t="shared" si="2"/>
        <v>4845</v>
      </c>
      <c r="L15" s="584">
        <f t="shared" si="2"/>
        <v>5040</v>
      </c>
      <c r="M15" s="585">
        <f t="shared" si="2"/>
        <v>3739.2</v>
      </c>
      <c r="N15" s="584">
        <f t="shared" si="2"/>
        <v>4200</v>
      </c>
      <c r="O15" s="585">
        <f t="shared" si="2"/>
        <v>4320</v>
      </c>
      <c r="P15" s="584">
        <f t="shared" si="2"/>
        <v>57000</v>
      </c>
      <c r="Q15" s="251"/>
      <c r="R15" s="586"/>
      <c r="S15" s="587"/>
      <c r="T15" s="587"/>
      <c r="U15" s="587"/>
      <c r="V15" s="587"/>
      <c r="W15" s="587"/>
    </row>
    <row r="16" spans="1:23" s="188" customFormat="1" ht="15.75">
      <c r="A16" s="251"/>
      <c r="B16" s="588" t="s">
        <v>303</v>
      </c>
      <c r="C16" s="583">
        <f>C13*0.03</f>
        <v>1187.49</v>
      </c>
      <c r="D16" s="584">
        <f aca="true" t="shared" si="3" ref="D16:P16">D13*0.03</f>
        <v>1028.97</v>
      </c>
      <c r="E16" s="589">
        <f t="shared" si="3"/>
        <v>1246.86</v>
      </c>
      <c r="F16" s="584">
        <f t="shared" si="3"/>
        <v>1311</v>
      </c>
      <c r="G16" s="589">
        <f t="shared" si="3"/>
        <v>1425</v>
      </c>
      <c r="H16" s="584">
        <f t="shared" si="3"/>
        <v>1244.01</v>
      </c>
      <c r="I16" s="589">
        <f t="shared" si="3"/>
        <v>1246.86</v>
      </c>
      <c r="J16" s="584">
        <f t="shared" si="3"/>
        <v>1211.25</v>
      </c>
      <c r="K16" s="589">
        <f t="shared" si="3"/>
        <v>1211.25</v>
      </c>
      <c r="L16" s="584">
        <f t="shared" si="3"/>
        <v>1260</v>
      </c>
      <c r="M16" s="589">
        <f t="shared" si="3"/>
        <v>934.8</v>
      </c>
      <c r="N16" s="584">
        <f t="shared" si="3"/>
        <v>1050</v>
      </c>
      <c r="O16" s="589">
        <f t="shared" si="3"/>
        <v>1080</v>
      </c>
      <c r="P16" s="584">
        <f t="shared" si="3"/>
        <v>14250</v>
      </c>
      <c r="Q16" s="251"/>
      <c r="R16" s="586"/>
      <c r="S16" s="587"/>
      <c r="T16" s="587"/>
      <c r="U16" s="587"/>
      <c r="V16" s="587"/>
      <c r="W16" s="587"/>
    </row>
    <row r="17" spans="1:23" ht="15.75">
      <c r="A17" s="442"/>
      <c r="B17" s="12" t="s">
        <v>507</v>
      </c>
      <c r="C17" s="547">
        <f>C13*-0.01</f>
        <v>-395.83</v>
      </c>
      <c r="D17" s="557">
        <f aca="true" t="shared" si="4" ref="D17:P17">D13*-0.01</f>
        <v>-342.99</v>
      </c>
      <c r="E17" s="526">
        <f t="shared" si="4"/>
        <v>-415.62</v>
      </c>
      <c r="F17" s="557">
        <f t="shared" si="4"/>
        <v>-437</v>
      </c>
      <c r="G17" s="526">
        <f t="shared" si="4"/>
        <v>-475</v>
      </c>
      <c r="H17" s="557">
        <f t="shared" si="4"/>
        <v>-414.67</v>
      </c>
      <c r="I17" s="526">
        <f t="shared" si="4"/>
        <v>-415.62</v>
      </c>
      <c r="J17" s="557">
        <f t="shared" si="4"/>
        <v>-403.75</v>
      </c>
      <c r="K17" s="526">
        <f t="shared" si="4"/>
        <v>-403.75</v>
      </c>
      <c r="L17" s="557">
        <f t="shared" si="4"/>
        <v>-420</v>
      </c>
      <c r="M17" s="526">
        <f t="shared" si="4"/>
        <v>-311.6</v>
      </c>
      <c r="N17" s="557">
        <f t="shared" si="4"/>
        <v>-350</v>
      </c>
      <c r="O17" s="526">
        <f t="shared" si="4"/>
        <v>-360</v>
      </c>
      <c r="P17" s="557">
        <f t="shared" si="4"/>
        <v>-4750</v>
      </c>
      <c r="Q17" s="3"/>
      <c r="R17" s="5"/>
      <c r="S17" s="4"/>
      <c r="T17" s="4"/>
      <c r="U17" s="4"/>
      <c r="V17" s="4"/>
      <c r="W17" s="4"/>
    </row>
    <row r="18" spans="1:23" ht="18">
      <c r="A18" s="442"/>
      <c r="B18" s="37" t="s">
        <v>156</v>
      </c>
      <c r="C18" s="525">
        <f>SUM(C13:C17)</f>
        <v>58978.67</v>
      </c>
      <c r="D18" s="525">
        <f aca="true" t="shared" si="5" ref="D18:P18">SUM(D13:D17)</f>
        <v>51105.51</v>
      </c>
      <c r="E18" s="525">
        <f t="shared" si="5"/>
        <v>61927.38</v>
      </c>
      <c r="F18" s="525">
        <f t="shared" si="5"/>
        <v>65113</v>
      </c>
      <c r="G18" s="525">
        <f t="shared" si="5"/>
        <v>70775</v>
      </c>
      <c r="H18" s="525">
        <f t="shared" si="5"/>
        <v>61785.83</v>
      </c>
      <c r="I18" s="525">
        <f t="shared" si="5"/>
        <v>61927.38</v>
      </c>
      <c r="J18" s="525">
        <f t="shared" si="5"/>
        <v>60158.75</v>
      </c>
      <c r="K18" s="525">
        <f t="shared" si="5"/>
        <v>60158.75</v>
      </c>
      <c r="L18" s="525">
        <f t="shared" si="5"/>
        <v>62580</v>
      </c>
      <c r="M18" s="525">
        <f t="shared" si="5"/>
        <v>46428.4</v>
      </c>
      <c r="N18" s="525">
        <f t="shared" si="5"/>
        <v>52150</v>
      </c>
      <c r="O18" s="525">
        <f t="shared" si="5"/>
        <v>53640</v>
      </c>
      <c r="P18" s="525">
        <f t="shared" si="5"/>
        <v>707750</v>
      </c>
      <c r="Q18" s="3"/>
      <c r="R18" s="5"/>
      <c r="S18" s="4"/>
      <c r="T18" s="4"/>
      <c r="U18" s="4"/>
      <c r="V18" s="4"/>
      <c r="W18" s="4"/>
    </row>
    <row r="19" spans="1:23" ht="18.75" thickBot="1">
      <c r="A19" s="442"/>
      <c r="B19" s="537" t="s">
        <v>217</v>
      </c>
      <c r="C19" s="548">
        <f>C18+C10</f>
        <v>58978.67</v>
      </c>
      <c r="D19" s="558">
        <f>D18+D10</f>
        <v>71105.51000000001</v>
      </c>
      <c r="E19" s="538">
        <f aca="true" t="shared" si="6" ref="E19:P19">E18+E10</f>
        <v>84107.991733</v>
      </c>
      <c r="F19" s="558">
        <f t="shared" si="6"/>
        <v>96166.460611</v>
      </c>
      <c r="G19" s="538">
        <f t="shared" si="6"/>
        <v>112671.294759</v>
      </c>
      <c r="H19" s="558">
        <f t="shared" si="6"/>
        <v>118026.335907</v>
      </c>
      <c r="I19" s="538">
        <f t="shared" si="6"/>
        <v>126953.20036000002</v>
      </c>
      <c r="J19" s="558">
        <f t="shared" si="6"/>
        <v>134057.419238</v>
      </c>
      <c r="K19" s="538">
        <f t="shared" si="6"/>
        <v>141836.548511</v>
      </c>
      <c r="L19" s="558">
        <f t="shared" si="6"/>
        <v>152036.927784</v>
      </c>
      <c r="M19" s="538">
        <f t="shared" si="6"/>
        <v>145161.756432</v>
      </c>
      <c r="N19" s="558">
        <f t="shared" si="6"/>
        <v>150171.64648</v>
      </c>
      <c r="O19" s="538">
        <f t="shared" si="6"/>
        <v>154488.170128</v>
      </c>
      <c r="P19" s="558">
        <f t="shared" si="6"/>
        <v>727750</v>
      </c>
      <c r="Q19" s="3"/>
      <c r="R19" s="5"/>
      <c r="S19" s="4"/>
      <c r="T19" s="4"/>
      <c r="U19" s="4"/>
      <c r="V19" s="4"/>
      <c r="W19" s="4"/>
    </row>
    <row r="20" spans="1:23" s="114" customFormat="1" ht="3.75" customHeight="1" thickTop="1">
      <c r="A20" s="576"/>
      <c r="B20" s="52"/>
      <c r="C20" s="52"/>
      <c r="D20" s="3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77"/>
      <c r="S20" s="31"/>
      <c r="T20" s="31"/>
      <c r="U20" s="31"/>
      <c r="V20" s="31"/>
      <c r="W20" s="31"/>
    </row>
    <row r="21" spans="2:18" s="581" customFormat="1" ht="12">
      <c r="B21" s="581" t="s">
        <v>512</v>
      </c>
      <c r="C21" s="651">
        <f>C18/30</f>
        <v>1965.9556666666665</v>
      </c>
      <c r="D21" s="651">
        <f>D18/30</f>
        <v>1703.517</v>
      </c>
      <c r="E21" s="651">
        <f>E18/31</f>
        <v>1997.6574193548386</v>
      </c>
      <c r="F21" s="651">
        <f>F18/30</f>
        <v>2170.4333333333334</v>
      </c>
      <c r="G21" s="651">
        <f aca="true" t="shared" si="7" ref="G21:O21">G18/30</f>
        <v>2359.1666666666665</v>
      </c>
      <c r="H21" s="651">
        <f t="shared" si="7"/>
        <v>2059.527666666667</v>
      </c>
      <c r="I21" s="651">
        <f t="shared" si="7"/>
        <v>2064.246</v>
      </c>
      <c r="J21" s="651">
        <f t="shared" si="7"/>
        <v>2005.2916666666667</v>
      </c>
      <c r="K21" s="651">
        <f t="shared" si="7"/>
        <v>2005.2916666666667</v>
      </c>
      <c r="L21" s="651">
        <f>L18/31</f>
        <v>2018.7096774193549</v>
      </c>
      <c r="M21" s="651">
        <f>M18/31</f>
        <v>1497.6903225806452</v>
      </c>
      <c r="N21" s="651">
        <f>N18/28</f>
        <v>1862.5</v>
      </c>
      <c r="O21" s="651">
        <f t="shared" si="7"/>
        <v>1788</v>
      </c>
      <c r="P21" s="651"/>
      <c r="R21" s="652"/>
    </row>
    <row r="22" spans="2:18" s="581" customFormat="1" ht="12">
      <c r="B22" s="581" t="s">
        <v>539</v>
      </c>
      <c r="C22" s="651"/>
      <c r="D22" s="539">
        <v>30</v>
      </c>
      <c r="E22" s="539">
        <v>31</v>
      </c>
      <c r="F22" s="539">
        <v>30</v>
      </c>
      <c r="G22" s="539">
        <v>31</v>
      </c>
      <c r="H22" s="539">
        <v>31</v>
      </c>
      <c r="I22" s="539">
        <v>30</v>
      </c>
      <c r="J22" s="539">
        <v>31</v>
      </c>
      <c r="K22" s="539">
        <v>30</v>
      </c>
      <c r="L22" s="539">
        <v>31</v>
      </c>
      <c r="M22" s="581">
        <v>31</v>
      </c>
      <c r="N22" s="581">
        <v>29</v>
      </c>
      <c r="O22" s="581">
        <v>31</v>
      </c>
      <c r="P22" s="539"/>
      <c r="R22" s="652"/>
    </row>
    <row r="23" spans="1:23" ht="15.75">
      <c r="A23" s="442"/>
      <c r="B23" s="55" t="s">
        <v>190</v>
      </c>
      <c r="C23" s="549"/>
      <c r="D23" s="31"/>
      <c r="E23" s="3"/>
      <c r="F23" s="7"/>
      <c r="G23" s="3"/>
      <c r="H23" s="7"/>
      <c r="I23" s="3"/>
      <c r="J23" s="7"/>
      <c r="K23" s="3"/>
      <c r="L23" s="7"/>
      <c r="M23" s="3"/>
      <c r="N23" s="7"/>
      <c r="O23" s="3"/>
      <c r="P23" s="7"/>
      <c r="Q23" s="3"/>
      <c r="R23" s="5"/>
      <c r="S23" s="4"/>
      <c r="T23" s="4"/>
      <c r="U23" s="4"/>
      <c r="V23" s="4"/>
      <c r="W23" s="4"/>
    </row>
    <row r="24" spans="1:23" ht="15.75">
      <c r="A24" s="442"/>
      <c r="B24" s="20" t="s">
        <v>306</v>
      </c>
      <c r="C24" s="550">
        <f>C13*0.31</f>
        <v>12270.73</v>
      </c>
      <c r="D24" s="559">
        <f aca="true" t="shared" si="8" ref="D24:P24">D13*0.31</f>
        <v>10632.69</v>
      </c>
      <c r="E24" s="528">
        <f t="shared" si="8"/>
        <v>12884.22</v>
      </c>
      <c r="F24" s="559">
        <f t="shared" si="8"/>
        <v>13547</v>
      </c>
      <c r="G24" s="528">
        <f t="shared" si="8"/>
        <v>14725</v>
      </c>
      <c r="H24" s="559">
        <f t="shared" si="8"/>
        <v>12854.77</v>
      </c>
      <c r="I24" s="528">
        <f t="shared" si="8"/>
        <v>12884.22</v>
      </c>
      <c r="J24" s="559">
        <f t="shared" si="8"/>
        <v>12516.25</v>
      </c>
      <c r="K24" s="528">
        <f t="shared" si="8"/>
        <v>12516.25</v>
      </c>
      <c r="L24" s="559">
        <f t="shared" si="8"/>
        <v>13020</v>
      </c>
      <c r="M24" s="528">
        <f t="shared" si="8"/>
        <v>9659.6</v>
      </c>
      <c r="N24" s="559">
        <f t="shared" si="8"/>
        <v>10850</v>
      </c>
      <c r="O24" s="528">
        <f t="shared" si="8"/>
        <v>11160</v>
      </c>
      <c r="P24" s="559">
        <f t="shared" si="8"/>
        <v>147250</v>
      </c>
      <c r="Q24" s="3"/>
      <c r="R24" s="5"/>
      <c r="S24" s="4"/>
      <c r="T24" s="4"/>
      <c r="U24" s="4"/>
      <c r="V24" s="4"/>
      <c r="W24" s="4"/>
    </row>
    <row r="25" spans="1:23" ht="15.75">
      <c r="A25" s="442"/>
      <c r="B25" s="14" t="s">
        <v>307</v>
      </c>
      <c r="C25" s="551">
        <f>C14*0.22</f>
        <v>3047.891</v>
      </c>
      <c r="D25" s="560">
        <f aca="true" t="shared" si="9" ref="D25:P25">D14*0.22</f>
        <v>2641.023</v>
      </c>
      <c r="E25" s="529">
        <f t="shared" si="9"/>
        <v>3200.274</v>
      </c>
      <c r="F25" s="560">
        <f t="shared" si="9"/>
        <v>3364.8999999999996</v>
      </c>
      <c r="G25" s="529">
        <f t="shared" si="9"/>
        <v>3657.5</v>
      </c>
      <c r="H25" s="560">
        <f t="shared" si="9"/>
        <v>3192.959</v>
      </c>
      <c r="I25" s="529">
        <f t="shared" si="9"/>
        <v>3200.274</v>
      </c>
      <c r="J25" s="560">
        <f t="shared" si="9"/>
        <v>3108.875</v>
      </c>
      <c r="K25" s="529">
        <f t="shared" si="9"/>
        <v>3108.875</v>
      </c>
      <c r="L25" s="560">
        <f t="shared" si="9"/>
        <v>3233.9999999999995</v>
      </c>
      <c r="M25" s="529">
        <f t="shared" si="9"/>
        <v>2399.32</v>
      </c>
      <c r="N25" s="560">
        <f t="shared" si="9"/>
        <v>2695</v>
      </c>
      <c r="O25" s="529">
        <f t="shared" si="9"/>
        <v>2772</v>
      </c>
      <c r="P25" s="560">
        <f t="shared" si="9"/>
        <v>36575</v>
      </c>
      <c r="Q25" s="3"/>
      <c r="R25" s="5"/>
      <c r="S25" s="4"/>
      <c r="T25" s="4"/>
      <c r="U25" s="4"/>
      <c r="V25" s="4"/>
      <c r="W25" s="4"/>
    </row>
    <row r="26" spans="1:23" ht="15.75">
      <c r="A26" s="442"/>
      <c r="B26" s="20" t="s">
        <v>308</v>
      </c>
      <c r="C26" s="550">
        <f>C15*0.316</f>
        <v>1500.98736</v>
      </c>
      <c r="D26" s="559">
        <f aca="true" t="shared" si="10" ref="D26:P26">D15*0.316</f>
        <v>1300.61808</v>
      </c>
      <c r="E26" s="528">
        <f t="shared" si="10"/>
        <v>1576.0310399999998</v>
      </c>
      <c r="F26" s="559">
        <f t="shared" si="10"/>
        <v>1657.104</v>
      </c>
      <c r="G26" s="528">
        <f t="shared" si="10"/>
        <v>1801.2</v>
      </c>
      <c r="H26" s="559">
        <f t="shared" si="10"/>
        <v>1572.42864</v>
      </c>
      <c r="I26" s="528">
        <f t="shared" si="10"/>
        <v>1576.0310399999998</v>
      </c>
      <c r="J26" s="559">
        <f t="shared" si="10"/>
        <v>1531.02</v>
      </c>
      <c r="K26" s="528">
        <f t="shared" si="10"/>
        <v>1531.02</v>
      </c>
      <c r="L26" s="559">
        <f t="shared" si="10"/>
        <v>1592.64</v>
      </c>
      <c r="M26" s="528">
        <f t="shared" si="10"/>
        <v>1181.5872</v>
      </c>
      <c r="N26" s="559">
        <f t="shared" si="10"/>
        <v>1327.2</v>
      </c>
      <c r="O26" s="528">
        <f t="shared" si="10"/>
        <v>1365.1200000000001</v>
      </c>
      <c r="P26" s="559">
        <f t="shared" si="10"/>
        <v>18012</v>
      </c>
      <c r="Q26" s="3"/>
      <c r="R26" s="5"/>
      <c r="S26" s="4"/>
      <c r="T26" s="4"/>
      <c r="U26" s="4"/>
      <c r="V26" s="4"/>
      <c r="W26" s="4"/>
    </row>
    <row r="27" spans="1:23" ht="15.75">
      <c r="A27" s="442"/>
      <c r="B27" s="20" t="s">
        <v>309</v>
      </c>
      <c r="C27" s="550">
        <f>C16*0.294</f>
        <v>349.12206</v>
      </c>
      <c r="D27" s="559">
        <f aca="true" t="shared" si="11" ref="D27:P27">D16*0.294</f>
        <v>302.51718</v>
      </c>
      <c r="E27" s="528">
        <f t="shared" si="11"/>
        <v>366.57683999999995</v>
      </c>
      <c r="F27" s="559">
        <f t="shared" si="11"/>
        <v>385.43399999999997</v>
      </c>
      <c r="G27" s="528">
        <f t="shared" si="11"/>
        <v>418.95</v>
      </c>
      <c r="H27" s="559">
        <f t="shared" si="11"/>
        <v>365.73893999999996</v>
      </c>
      <c r="I27" s="528">
        <f t="shared" si="11"/>
        <v>366.57683999999995</v>
      </c>
      <c r="J27" s="559">
        <f t="shared" si="11"/>
        <v>356.10749999999996</v>
      </c>
      <c r="K27" s="528">
        <f t="shared" si="11"/>
        <v>356.10749999999996</v>
      </c>
      <c r="L27" s="559">
        <f t="shared" si="11"/>
        <v>370.44</v>
      </c>
      <c r="M27" s="528">
        <f t="shared" si="11"/>
        <v>274.83119999999997</v>
      </c>
      <c r="N27" s="559">
        <f t="shared" si="11"/>
        <v>308.7</v>
      </c>
      <c r="O27" s="528">
        <f t="shared" si="11"/>
        <v>317.52</v>
      </c>
      <c r="P27" s="559">
        <f t="shared" si="11"/>
        <v>4189.5</v>
      </c>
      <c r="Q27" s="3"/>
      <c r="R27" s="5"/>
      <c r="S27" s="4"/>
      <c r="T27" s="4"/>
      <c r="U27" s="4"/>
      <c r="V27" s="4"/>
      <c r="W27" s="4"/>
    </row>
    <row r="28" spans="1:23" ht="15.75">
      <c r="A28" s="442"/>
      <c r="B28" s="141" t="s">
        <v>368</v>
      </c>
      <c r="C28" s="550">
        <f>C18*0.01</f>
        <v>589.7867</v>
      </c>
      <c r="D28" s="559">
        <f aca="true" t="shared" si="12" ref="D28:P28">D18*0.01</f>
        <v>511.05510000000004</v>
      </c>
      <c r="E28" s="530">
        <f t="shared" si="12"/>
        <v>619.2737999999999</v>
      </c>
      <c r="F28" s="559">
        <f t="shared" si="12"/>
        <v>651.13</v>
      </c>
      <c r="G28" s="530">
        <f t="shared" si="12"/>
        <v>707.75</v>
      </c>
      <c r="H28" s="559">
        <f t="shared" si="12"/>
        <v>617.8583</v>
      </c>
      <c r="I28" s="530">
        <f t="shared" si="12"/>
        <v>619.2737999999999</v>
      </c>
      <c r="J28" s="559">
        <f t="shared" si="12"/>
        <v>601.5875</v>
      </c>
      <c r="K28" s="530">
        <f t="shared" si="12"/>
        <v>601.5875</v>
      </c>
      <c r="L28" s="559">
        <f t="shared" si="12"/>
        <v>625.8000000000001</v>
      </c>
      <c r="M28" s="530">
        <f t="shared" si="12"/>
        <v>464.28400000000005</v>
      </c>
      <c r="N28" s="559">
        <f t="shared" si="12"/>
        <v>521.5</v>
      </c>
      <c r="O28" s="530">
        <f t="shared" si="12"/>
        <v>536.4</v>
      </c>
      <c r="P28" s="559">
        <f t="shared" si="12"/>
        <v>7077.5</v>
      </c>
      <c r="Q28" s="3"/>
      <c r="R28" s="5"/>
      <c r="S28" s="4"/>
      <c r="T28" s="4"/>
      <c r="U28" s="4"/>
      <c r="V28" s="4"/>
      <c r="W28" s="4"/>
    </row>
    <row r="29" spans="1:23" ht="18">
      <c r="A29" s="442"/>
      <c r="B29" s="37" t="s">
        <v>191</v>
      </c>
      <c r="C29" s="531">
        <f>SUM(C24:C28)</f>
        <v>17758.51712</v>
      </c>
      <c r="D29" s="531">
        <f aca="true" t="shared" si="13" ref="D29:P29">SUM(D24:D28)</f>
        <v>15387.90336</v>
      </c>
      <c r="E29" s="531">
        <f t="shared" si="13"/>
        <v>18646.37568</v>
      </c>
      <c r="F29" s="531">
        <f t="shared" si="13"/>
        <v>19605.568000000003</v>
      </c>
      <c r="G29" s="531">
        <f t="shared" si="13"/>
        <v>21310.4</v>
      </c>
      <c r="H29" s="531">
        <f t="shared" si="13"/>
        <v>18603.754879999997</v>
      </c>
      <c r="I29" s="531">
        <f t="shared" si="13"/>
        <v>18646.37568</v>
      </c>
      <c r="J29" s="531">
        <f t="shared" si="13"/>
        <v>18113.84</v>
      </c>
      <c r="K29" s="531">
        <f t="shared" si="13"/>
        <v>18113.84</v>
      </c>
      <c r="L29" s="531">
        <f t="shared" si="13"/>
        <v>18842.879999999997</v>
      </c>
      <c r="M29" s="531">
        <f t="shared" si="13"/>
        <v>13979.6224</v>
      </c>
      <c r="N29" s="531">
        <f t="shared" si="13"/>
        <v>15702.400000000001</v>
      </c>
      <c r="O29" s="531">
        <f t="shared" si="13"/>
        <v>16151.04</v>
      </c>
      <c r="P29" s="531">
        <f t="shared" si="13"/>
        <v>213104</v>
      </c>
      <c r="Q29" s="3"/>
      <c r="R29" s="5"/>
      <c r="S29" s="4"/>
      <c r="T29" s="4"/>
      <c r="U29" s="4"/>
      <c r="V29" s="4"/>
      <c r="W29" s="4"/>
    </row>
    <row r="30" spans="1:23" s="114" customFormat="1" ht="6" customHeight="1">
      <c r="A30" s="576"/>
      <c r="B30" s="369"/>
      <c r="C30" s="578"/>
      <c r="D30" s="3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577"/>
      <c r="S30" s="31"/>
      <c r="T30" s="31"/>
      <c r="U30" s="31"/>
      <c r="V30" s="31"/>
      <c r="W30" s="31"/>
    </row>
    <row r="31" spans="1:23" ht="15.75">
      <c r="A31" s="442"/>
      <c r="B31" s="527" t="s">
        <v>505</v>
      </c>
      <c r="C31" s="552"/>
      <c r="D31" s="31"/>
      <c r="E31" s="3"/>
      <c r="F31" s="7"/>
      <c r="G31" s="3"/>
      <c r="H31" s="7"/>
      <c r="I31" s="3"/>
      <c r="J31" s="7"/>
      <c r="K31" s="3"/>
      <c r="L31" s="7"/>
      <c r="M31" s="3"/>
      <c r="N31" s="7"/>
      <c r="O31" s="3"/>
      <c r="P31" s="7"/>
      <c r="Q31" s="3"/>
      <c r="R31" s="5"/>
      <c r="S31" s="4"/>
      <c r="T31" s="4"/>
      <c r="U31" s="4"/>
      <c r="V31" s="4"/>
      <c r="W31" s="4"/>
    </row>
    <row r="32" spans="1:23" s="168" customFormat="1" ht="15.75">
      <c r="A32" s="280"/>
      <c r="B32" s="632" t="s">
        <v>41</v>
      </c>
      <c r="C32" s="637">
        <v>15765</v>
      </c>
      <c r="D32" s="631">
        <v>15764.66</v>
      </c>
      <c r="E32" s="638">
        <v>15764.66</v>
      </c>
      <c r="F32" s="631">
        <v>15764.66</v>
      </c>
      <c r="G32" s="638">
        <v>15764.66</v>
      </c>
      <c r="H32" s="631">
        <v>15764.66</v>
      </c>
      <c r="I32" s="638">
        <v>15764.66</v>
      </c>
      <c r="J32" s="631">
        <v>15764.66</v>
      </c>
      <c r="K32" s="638">
        <v>15764.66</v>
      </c>
      <c r="L32" s="631">
        <v>15764.66</v>
      </c>
      <c r="M32" s="638">
        <v>15764.66</v>
      </c>
      <c r="N32" s="631">
        <v>15764.66</v>
      </c>
      <c r="O32" s="638">
        <v>15764.66</v>
      </c>
      <c r="P32" s="631">
        <f>SUM(D32:O32)</f>
        <v>189175.92</v>
      </c>
      <c r="Q32" s="280"/>
      <c r="R32" s="639"/>
      <c r="S32" s="280"/>
      <c r="T32" s="280"/>
      <c r="U32" s="280"/>
      <c r="V32" s="280"/>
      <c r="W32" s="280"/>
    </row>
    <row r="33" spans="1:23" ht="15.75">
      <c r="A33" s="442"/>
      <c r="B33" s="454" t="s">
        <v>342</v>
      </c>
      <c r="C33" s="553">
        <v>1500</v>
      </c>
      <c r="D33" s="561">
        <v>1500</v>
      </c>
      <c r="E33" s="532">
        <v>1500</v>
      </c>
      <c r="F33" s="561">
        <v>1500</v>
      </c>
      <c r="G33" s="532">
        <v>1500</v>
      </c>
      <c r="H33" s="561">
        <v>1500</v>
      </c>
      <c r="I33" s="532">
        <v>1500</v>
      </c>
      <c r="J33" s="561">
        <v>1500</v>
      </c>
      <c r="K33" s="532">
        <v>1500</v>
      </c>
      <c r="L33" s="561">
        <v>1500</v>
      </c>
      <c r="M33" s="532">
        <v>1500</v>
      </c>
      <c r="N33" s="561">
        <v>1500</v>
      </c>
      <c r="O33" s="532">
        <v>1500</v>
      </c>
      <c r="P33" s="566">
        <f aca="true" t="shared" si="14" ref="P33:P52">SUM(D33:O33)</f>
        <v>18000</v>
      </c>
      <c r="Q33" s="3"/>
      <c r="R33" s="5"/>
      <c r="S33" s="4"/>
      <c r="T33" s="4"/>
      <c r="U33" s="4"/>
      <c r="V33" s="4"/>
      <c r="W33" s="4"/>
    </row>
    <row r="34" spans="1:23" ht="15.75">
      <c r="A34" s="442"/>
      <c r="B34" s="460" t="s">
        <v>346</v>
      </c>
      <c r="C34" s="553">
        <v>267</v>
      </c>
      <c r="D34" s="561">
        <v>267</v>
      </c>
      <c r="E34" s="533">
        <v>267</v>
      </c>
      <c r="F34" s="561">
        <v>267</v>
      </c>
      <c r="G34" s="533">
        <v>267</v>
      </c>
      <c r="H34" s="561">
        <v>267</v>
      </c>
      <c r="I34" s="533">
        <v>267</v>
      </c>
      <c r="J34" s="561">
        <v>267</v>
      </c>
      <c r="K34" s="533">
        <v>267</v>
      </c>
      <c r="L34" s="561">
        <v>267</v>
      </c>
      <c r="M34" s="533">
        <v>267</v>
      </c>
      <c r="N34" s="561">
        <v>267</v>
      </c>
      <c r="O34" s="533">
        <v>267</v>
      </c>
      <c r="P34" s="566">
        <f t="shared" si="14"/>
        <v>3204</v>
      </c>
      <c r="Q34" s="3"/>
      <c r="R34" s="5"/>
      <c r="S34" s="4"/>
      <c r="T34" s="4"/>
      <c r="U34" s="4"/>
      <c r="V34" s="4"/>
      <c r="W34" s="4"/>
    </row>
    <row r="35" spans="1:23" ht="15.75">
      <c r="A35" s="442"/>
      <c r="B35" s="460" t="s">
        <v>75</v>
      </c>
      <c r="C35" s="553">
        <v>500</v>
      </c>
      <c r="D35" s="561">
        <v>500</v>
      </c>
      <c r="E35" s="533">
        <v>500</v>
      </c>
      <c r="F35" s="561">
        <v>500</v>
      </c>
      <c r="G35" s="533">
        <v>500</v>
      </c>
      <c r="H35" s="561">
        <v>500</v>
      </c>
      <c r="I35" s="533">
        <v>500</v>
      </c>
      <c r="J35" s="561">
        <v>500</v>
      </c>
      <c r="K35" s="533">
        <v>500</v>
      </c>
      <c r="L35" s="561">
        <v>500</v>
      </c>
      <c r="M35" s="533">
        <v>500</v>
      </c>
      <c r="N35" s="561">
        <v>500</v>
      </c>
      <c r="O35" s="533">
        <v>500</v>
      </c>
      <c r="P35" s="566">
        <f t="shared" si="14"/>
        <v>6000</v>
      </c>
      <c r="Q35" s="3"/>
      <c r="R35" s="5"/>
      <c r="S35" s="4"/>
      <c r="T35" s="4"/>
      <c r="U35" s="4"/>
      <c r="V35" s="4"/>
      <c r="W35" s="4"/>
    </row>
    <row r="36" spans="1:23" ht="15.75">
      <c r="A36" s="442"/>
      <c r="B36" s="460" t="s">
        <v>347</v>
      </c>
      <c r="C36" s="554">
        <f>C18*0.018</f>
        <v>1061.6160599999998</v>
      </c>
      <c r="D36" s="562">
        <f aca="true" t="shared" si="15" ref="D36:O36">D18*0.018</f>
        <v>919.89918</v>
      </c>
      <c r="E36" s="534">
        <f t="shared" si="15"/>
        <v>1114.69284</v>
      </c>
      <c r="F36" s="562">
        <f t="shared" si="15"/>
        <v>1172.0339999999999</v>
      </c>
      <c r="G36" s="534">
        <f t="shared" si="15"/>
        <v>1273.9499999999998</v>
      </c>
      <c r="H36" s="562">
        <f t="shared" si="15"/>
        <v>1112.14494</v>
      </c>
      <c r="I36" s="534">
        <f t="shared" si="15"/>
        <v>1114.69284</v>
      </c>
      <c r="J36" s="562">
        <f t="shared" si="15"/>
        <v>1082.8574999999998</v>
      </c>
      <c r="K36" s="534">
        <f t="shared" si="15"/>
        <v>1082.8574999999998</v>
      </c>
      <c r="L36" s="562">
        <f t="shared" si="15"/>
        <v>1126.4399999999998</v>
      </c>
      <c r="M36" s="534">
        <f t="shared" si="15"/>
        <v>835.7112</v>
      </c>
      <c r="N36" s="562">
        <f t="shared" si="15"/>
        <v>938.6999999999999</v>
      </c>
      <c r="O36" s="534">
        <f t="shared" si="15"/>
        <v>965.52</v>
      </c>
      <c r="P36" s="566">
        <f t="shared" si="14"/>
        <v>12739.5</v>
      </c>
      <c r="Q36" s="3"/>
      <c r="R36" s="5"/>
      <c r="S36" s="4"/>
      <c r="T36" s="4"/>
      <c r="U36" s="4"/>
      <c r="V36" s="4"/>
      <c r="W36" s="4"/>
    </row>
    <row r="37" spans="1:23" s="226" customFormat="1" ht="15.75">
      <c r="A37" s="3"/>
      <c r="B37" s="141" t="s">
        <v>344</v>
      </c>
      <c r="C37" s="628">
        <v>2500</v>
      </c>
      <c r="D37" s="629">
        <v>2500</v>
      </c>
      <c r="E37" s="630">
        <v>2500</v>
      </c>
      <c r="F37" s="629">
        <v>2500</v>
      </c>
      <c r="G37" s="630">
        <v>2500</v>
      </c>
      <c r="H37" s="629">
        <v>2500</v>
      </c>
      <c r="I37" s="630">
        <v>2500</v>
      </c>
      <c r="J37" s="629">
        <v>2500</v>
      </c>
      <c r="K37" s="630">
        <v>2500</v>
      </c>
      <c r="L37" s="629">
        <v>2500</v>
      </c>
      <c r="M37" s="630">
        <v>2500</v>
      </c>
      <c r="N37" s="629">
        <v>2500</v>
      </c>
      <c r="O37" s="630">
        <v>2500</v>
      </c>
      <c r="P37" s="566">
        <f t="shared" si="14"/>
        <v>30000</v>
      </c>
      <c r="Q37" s="3"/>
      <c r="R37" s="5"/>
      <c r="S37" s="4"/>
      <c r="T37" s="4"/>
      <c r="U37" s="4"/>
      <c r="V37" s="4"/>
      <c r="W37" s="4"/>
    </row>
    <row r="38" spans="1:23" ht="15.75">
      <c r="A38" s="442"/>
      <c r="B38" s="460" t="s">
        <v>349</v>
      </c>
      <c r="C38" s="553">
        <v>300</v>
      </c>
      <c r="D38" s="561">
        <v>300</v>
      </c>
      <c r="E38" s="533">
        <v>300</v>
      </c>
      <c r="F38" s="561">
        <v>300</v>
      </c>
      <c r="G38" s="533">
        <v>300</v>
      </c>
      <c r="H38" s="561">
        <v>300</v>
      </c>
      <c r="I38" s="533">
        <v>300</v>
      </c>
      <c r="J38" s="561">
        <v>300</v>
      </c>
      <c r="K38" s="533">
        <v>300</v>
      </c>
      <c r="L38" s="561">
        <v>300</v>
      </c>
      <c r="M38" s="533">
        <v>300</v>
      </c>
      <c r="N38" s="561">
        <v>300</v>
      </c>
      <c r="O38" s="533">
        <v>300</v>
      </c>
      <c r="P38" s="566">
        <f t="shared" si="14"/>
        <v>3600</v>
      </c>
      <c r="Q38" s="3"/>
      <c r="R38" s="5"/>
      <c r="S38" s="4"/>
      <c r="T38" s="4"/>
      <c r="U38" s="4"/>
      <c r="V38" s="4"/>
      <c r="W38" s="4"/>
    </row>
    <row r="39" spans="1:23" ht="15.75">
      <c r="A39" s="442"/>
      <c r="B39" s="460" t="s">
        <v>348</v>
      </c>
      <c r="C39" s="553">
        <v>63</v>
      </c>
      <c r="D39" s="561">
        <v>63</v>
      </c>
      <c r="E39" s="533">
        <v>63</v>
      </c>
      <c r="F39" s="561">
        <v>63</v>
      </c>
      <c r="G39" s="533">
        <v>63</v>
      </c>
      <c r="H39" s="561">
        <v>63</v>
      </c>
      <c r="I39" s="533">
        <v>63</v>
      </c>
      <c r="J39" s="561">
        <v>63</v>
      </c>
      <c r="K39" s="533">
        <v>63</v>
      </c>
      <c r="L39" s="561">
        <v>63</v>
      </c>
      <c r="M39" s="533">
        <v>63</v>
      </c>
      <c r="N39" s="561">
        <v>63</v>
      </c>
      <c r="O39" s="533">
        <v>63</v>
      </c>
      <c r="P39" s="566">
        <f t="shared" si="14"/>
        <v>756</v>
      </c>
      <c r="Q39" s="3"/>
      <c r="R39" s="5"/>
      <c r="S39" s="4"/>
      <c r="T39" s="4"/>
      <c r="U39" s="4"/>
      <c r="V39" s="4"/>
      <c r="W39" s="4"/>
    </row>
    <row r="40" spans="1:23" s="185" customFormat="1" ht="15.75">
      <c r="A40" s="251"/>
      <c r="B40" s="632" t="s">
        <v>508</v>
      </c>
      <c r="C40" s="633">
        <v>1780</v>
      </c>
      <c r="D40" s="634">
        <v>1780</v>
      </c>
      <c r="E40" s="635">
        <v>1780</v>
      </c>
      <c r="F40" s="634">
        <v>1780</v>
      </c>
      <c r="G40" s="635">
        <v>1780</v>
      </c>
      <c r="H40" s="634">
        <v>1780</v>
      </c>
      <c r="I40" s="635">
        <v>1780</v>
      </c>
      <c r="J40" s="634">
        <v>1780</v>
      </c>
      <c r="K40" s="635">
        <v>1780</v>
      </c>
      <c r="L40" s="634">
        <v>1780</v>
      </c>
      <c r="M40" s="635">
        <v>1780</v>
      </c>
      <c r="N40" s="634">
        <v>1780</v>
      </c>
      <c r="O40" s="635">
        <v>1780</v>
      </c>
      <c r="P40" s="631">
        <f t="shared" si="14"/>
        <v>21360</v>
      </c>
      <c r="Q40" s="251"/>
      <c r="R40" s="636"/>
      <c r="S40" s="251"/>
      <c r="T40" s="251"/>
      <c r="U40" s="251"/>
      <c r="V40" s="251"/>
      <c r="W40" s="251"/>
    </row>
    <row r="41" spans="1:23" s="185" customFormat="1" ht="15.75">
      <c r="A41" s="251"/>
      <c r="B41" s="632" t="s">
        <v>462</v>
      </c>
      <c r="C41" s="633">
        <v>200</v>
      </c>
      <c r="D41" s="634">
        <v>200</v>
      </c>
      <c r="E41" s="635">
        <v>200</v>
      </c>
      <c r="F41" s="634">
        <v>200</v>
      </c>
      <c r="G41" s="635">
        <v>200</v>
      </c>
      <c r="H41" s="634">
        <v>200</v>
      </c>
      <c r="I41" s="635">
        <v>200</v>
      </c>
      <c r="J41" s="634">
        <v>200</v>
      </c>
      <c r="K41" s="635">
        <v>200</v>
      </c>
      <c r="L41" s="634">
        <v>200</v>
      </c>
      <c r="M41" s="635">
        <v>200</v>
      </c>
      <c r="N41" s="634">
        <v>200</v>
      </c>
      <c r="O41" s="635">
        <v>200</v>
      </c>
      <c r="P41" s="631">
        <f t="shared" si="14"/>
        <v>2400</v>
      </c>
      <c r="Q41" s="251"/>
      <c r="R41" s="636"/>
      <c r="S41" s="251"/>
      <c r="T41" s="251"/>
      <c r="U41" s="251"/>
      <c r="V41" s="251"/>
      <c r="W41" s="251"/>
    </row>
    <row r="42" spans="1:23" ht="15.75">
      <c r="A42" s="442"/>
      <c r="B42" s="460" t="s">
        <v>343</v>
      </c>
      <c r="C42" s="553">
        <v>400</v>
      </c>
      <c r="D42" s="561">
        <v>400</v>
      </c>
      <c r="E42" s="533">
        <v>400</v>
      </c>
      <c r="F42" s="561">
        <v>400</v>
      </c>
      <c r="G42" s="533">
        <v>400</v>
      </c>
      <c r="H42" s="561">
        <v>400</v>
      </c>
      <c r="I42" s="533">
        <v>400</v>
      </c>
      <c r="J42" s="561">
        <v>400</v>
      </c>
      <c r="K42" s="533">
        <v>400</v>
      </c>
      <c r="L42" s="561">
        <v>400</v>
      </c>
      <c r="M42" s="533">
        <v>400</v>
      </c>
      <c r="N42" s="561">
        <v>400</v>
      </c>
      <c r="O42" s="533">
        <v>400</v>
      </c>
      <c r="P42" s="566">
        <f t="shared" si="14"/>
        <v>4800</v>
      </c>
      <c r="Q42" s="3"/>
      <c r="R42" s="5"/>
      <c r="S42" s="4"/>
      <c r="T42" s="4"/>
      <c r="U42" s="4"/>
      <c r="V42" s="4"/>
      <c r="W42" s="4"/>
    </row>
    <row r="43" spans="1:23" ht="15.75">
      <c r="A43" s="442"/>
      <c r="B43" s="460" t="s">
        <v>350</v>
      </c>
      <c r="C43" s="553">
        <v>1250</v>
      </c>
      <c r="D43" s="561">
        <v>1250</v>
      </c>
      <c r="E43" s="533">
        <v>1250</v>
      </c>
      <c r="F43" s="561">
        <v>1250</v>
      </c>
      <c r="G43" s="533">
        <v>1250</v>
      </c>
      <c r="H43" s="561">
        <v>1250</v>
      </c>
      <c r="I43" s="533">
        <v>1250</v>
      </c>
      <c r="J43" s="561">
        <v>1250</v>
      </c>
      <c r="K43" s="533">
        <v>1250</v>
      </c>
      <c r="L43" s="561">
        <v>1250</v>
      </c>
      <c r="M43" s="533">
        <v>1250</v>
      </c>
      <c r="N43" s="561">
        <v>1250</v>
      </c>
      <c r="O43" s="533">
        <v>1250</v>
      </c>
      <c r="P43" s="566">
        <f t="shared" si="14"/>
        <v>15000</v>
      </c>
      <c r="Q43" s="3"/>
      <c r="R43" s="5"/>
      <c r="S43" s="4"/>
      <c r="T43" s="4"/>
      <c r="U43" s="4"/>
      <c r="V43" s="4"/>
      <c r="W43" s="4"/>
    </row>
    <row r="44" spans="1:35" ht="15.75">
      <c r="A44" s="442"/>
      <c r="B44" s="460" t="s">
        <v>351</v>
      </c>
      <c r="C44" s="553">
        <v>208</v>
      </c>
      <c r="D44" s="561">
        <v>208</v>
      </c>
      <c r="E44" s="533">
        <v>208</v>
      </c>
      <c r="F44" s="561">
        <v>208</v>
      </c>
      <c r="G44" s="533">
        <v>208</v>
      </c>
      <c r="H44" s="561">
        <v>208</v>
      </c>
      <c r="I44" s="533">
        <v>208</v>
      </c>
      <c r="J44" s="561">
        <v>208</v>
      </c>
      <c r="K44" s="533">
        <v>208</v>
      </c>
      <c r="L44" s="561">
        <v>208</v>
      </c>
      <c r="M44" s="533">
        <v>208</v>
      </c>
      <c r="N44" s="561">
        <v>208</v>
      </c>
      <c r="O44" s="533">
        <v>208</v>
      </c>
      <c r="P44" s="566">
        <f t="shared" si="14"/>
        <v>2496</v>
      </c>
      <c r="Q44" s="6"/>
      <c r="R44" s="646"/>
      <c r="S44" s="30"/>
      <c r="T44" s="30"/>
      <c r="U44" s="30"/>
      <c r="V44" s="30"/>
      <c r="W44" s="30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</row>
    <row r="45" spans="1:35" s="627" customFormat="1" ht="15.75">
      <c r="A45" s="6"/>
      <c r="B45" s="141" t="s">
        <v>538</v>
      </c>
      <c r="C45" s="625">
        <v>284</v>
      </c>
      <c r="D45" s="626">
        <v>284</v>
      </c>
      <c r="E45" s="645">
        <v>284</v>
      </c>
      <c r="F45" s="626">
        <v>284</v>
      </c>
      <c r="G45" s="645">
        <v>284</v>
      </c>
      <c r="H45" s="626">
        <v>284</v>
      </c>
      <c r="I45" s="645">
        <v>284</v>
      </c>
      <c r="J45" s="626">
        <v>284</v>
      </c>
      <c r="K45" s="645">
        <v>284</v>
      </c>
      <c r="L45" s="626">
        <v>284</v>
      </c>
      <c r="M45" s="645">
        <v>284</v>
      </c>
      <c r="N45" s="626">
        <v>284</v>
      </c>
      <c r="O45" s="645">
        <v>284</v>
      </c>
      <c r="P45" s="566">
        <f t="shared" si="14"/>
        <v>3408</v>
      </c>
      <c r="Q45" s="647"/>
      <c r="R45" s="648"/>
      <c r="S45" s="648"/>
      <c r="T45" s="648"/>
      <c r="U45" s="648"/>
      <c r="V45" s="30"/>
      <c r="W45" s="30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</row>
    <row r="46" spans="1:35" ht="15.75">
      <c r="A46" s="442"/>
      <c r="B46" s="460" t="s">
        <v>345</v>
      </c>
      <c r="C46" s="553">
        <v>125</v>
      </c>
      <c r="D46" s="561">
        <v>125</v>
      </c>
      <c r="E46" s="533">
        <v>125</v>
      </c>
      <c r="F46" s="561">
        <v>125</v>
      </c>
      <c r="G46" s="533">
        <v>125</v>
      </c>
      <c r="H46" s="561">
        <v>125</v>
      </c>
      <c r="I46" s="533">
        <v>125</v>
      </c>
      <c r="J46" s="561">
        <v>125</v>
      </c>
      <c r="K46" s="533">
        <v>125</v>
      </c>
      <c r="L46" s="561">
        <v>125</v>
      </c>
      <c r="M46" s="533">
        <v>125</v>
      </c>
      <c r="N46" s="561">
        <v>125</v>
      </c>
      <c r="O46" s="533">
        <v>125</v>
      </c>
      <c r="P46" s="566">
        <f t="shared" si="14"/>
        <v>1500</v>
      </c>
      <c r="Q46" s="6"/>
      <c r="R46" s="646"/>
      <c r="S46" s="30"/>
      <c r="T46" s="30"/>
      <c r="U46" s="30"/>
      <c r="V46" s="30"/>
      <c r="W46" s="30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</row>
    <row r="47" spans="1:35" ht="15.75">
      <c r="A47" s="442"/>
      <c r="B47" s="460" t="s">
        <v>422</v>
      </c>
      <c r="C47" s="553">
        <v>200</v>
      </c>
      <c r="D47" s="561">
        <v>200</v>
      </c>
      <c r="E47" s="533">
        <v>200</v>
      </c>
      <c r="F47" s="561">
        <v>200</v>
      </c>
      <c r="G47" s="533">
        <v>200</v>
      </c>
      <c r="H47" s="561">
        <v>200</v>
      </c>
      <c r="I47" s="533">
        <v>200</v>
      </c>
      <c r="J47" s="561">
        <v>200</v>
      </c>
      <c r="K47" s="533">
        <v>200</v>
      </c>
      <c r="L47" s="561">
        <v>200</v>
      </c>
      <c r="M47" s="533">
        <v>200</v>
      </c>
      <c r="N47" s="561">
        <v>200</v>
      </c>
      <c r="O47" s="533">
        <v>200</v>
      </c>
      <c r="P47" s="566">
        <f t="shared" si="14"/>
        <v>2400</v>
      </c>
      <c r="Q47" s="6"/>
      <c r="R47" s="646"/>
      <c r="S47" s="30"/>
      <c r="T47" s="30"/>
      <c r="U47" s="30"/>
      <c r="V47" s="30"/>
      <c r="W47" s="30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</row>
    <row r="48" spans="1:23" ht="15.75">
      <c r="A48" s="442"/>
      <c r="B48" s="460" t="s">
        <v>369</v>
      </c>
      <c r="C48" s="555">
        <f>C32*0.1372</f>
        <v>2162.9579999999996</v>
      </c>
      <c r="D48" s="563">
        <f aca="true" t="shared" si="16" ref="D48:O48">D32*0.1372</f>
        <v>2162.9113519999996</v>
      </c>
      <c r="E48" s="535">
        <f t="shared" si="16"/>
        <v>2162.9113519999996</v>
      </c>
      <c r="F48" s="563">
        <f t="shared" si="16"/>
        <v>2162.9113519999996</v>
      </c>
      <c r="G48" s="535">
        <f t="shared" si="16"/>
        <v>2162.9113519999996</v>
      </c>
      <c r="H48" s="563">
        <f t="shared" si="16"/>
        <v>2162.9113519999996</v>
      </c>
      <c r="I48" s="535">
        <f t="shared" si="16"/>
        <v>2162.9113519999996</v>
      </c>
      <c r="J48" s="563">
        <f t="shared" si="16"/>
        <v>2162.9113519999996</v>
      </c>
      <c r="K48" s="535">
        <f t="shared" si="16"/>
        <v>2162.9113519999996</v>
      </c>
      <c r="L48" s="563">
        <f t="shared" si="16"/>
        <v>2162.9113519999996</v>
      </c>
      <c r="M48" s="535">
        <f t="shared" si="16"/>
        <v>2162.9113519999996</v>
      </c>
      <c r="N48" s="563">
        <f t="shared" si="16"/>
        <v>2162.9113519999996</v>
      </c>
      <c r="O48" s="535">
        <f t="shared" si="16"/>
        <v>2162.9113519999996</v>
      </c>
      <c r="P48" s="566">
        <f t="shared" si="14"/>
        <v>25954.936223999994</v>
      </c>
      <c r="Q48" s="3"/>
      <c r="R48" s="5"/>
      <c r="S48" s="4"/>
      <c r="T48" s="4"/>
      <c r="U48" s="4"/>
      <c r="V48" s="4"/>
      <c r="W48" s="4"/>
    </row>
    <row r="49" spans="1:23" s="188" customFormat="1" ht="15.75">
      <c r="A49" s="251"/>
      <c r="B49" s="641" t="s">
        <v>423</v>
      </c>
      <c r="C49" s="642">
        <f>C18*0.0625</f>
        <v>3686.166875</v>
      </c>
      <c r="D49" s="643">
        <f aca="true" t="shared" si="17" ref="D49:O49">D18*0.0625</f>
        <v>3194.094375</v>
      </c>
      <c r="E49" s="644">
        <f t="shared" si="17"/>
        <v>3870.46125</v>
      </c>
      <c r="F49" s="643">
        <f t="shared" si="17"/>
        <v>4069.5625</v>
      </c>
      <c r="G49" s="644">
        <f t="shared" si="17"/>
        <v>4423.4375</v>
      </c>
      <c r="H49" s="643">
        <f t="shared" si="17"/>
        <v>3861.614375</v>
      </c>
      <c r="I49" s="644">
        <f t="shared" si="17"/>
        <v>3870.46125</v>
      </c>
      <c r="J49" s="643">
        <f t="shared" si="17"/>
        <v>3759.921875</v>
      </c>
      <c r="K49" s="644">
        <f t="shared" si="17"/>
        <v>3759.921875</v>
      </c>
      <c r="L49" s="643">
        <f t="shared" si="17"/>
        <v>3911.25</v>
      </c>
      <c r="M49" s="644">
        <f t="shared" si="17"/>
        <v>2901.775</v>
      </c>
      <c r="N49" s="643">
        <f t="shared" si="17"/>
        <v>3259.375</v>
      </c>
      <c r="O49" s="644">
        <f t="shared" si="17"/>
        <v>3352.5</v>
      </c>
      <c r="P49" s="631">
        <f t="shared" si="14"/>
        <v>44234.37500000001</v>
      </c>
      <c r="Q49" s="251"/>
      <c r="R49" s="586"/>
      <c r="S49" s="587"/>
      <c r="T49" s="587"/>
      <c r="U49" s="587"/>
      <c r="V49" s="587"/>
      <c r="W49" s="587"/>
    </row>
    <row r="50" spans="1:23" ht="15.75">
      <c r="A50" s="442"/>
      <c r="B50" s="478" t="s">
        <v>370</v>
      </c>
      <c r="C50" s="556">
        <v>63</v>
      </c>
      <c r="D50" s="564">
        <v>63</v>
      </c>
      <c r="E50" s="478">
        <v>63</v>
      </c>
      <c r="F50" s="564">
        <v>63</v>
      </c>
      <c r="G50" s="478">
        <v>63</v>
      </c>
      <c r="H50" s="564">
        <v>63</v>
      </c>
      <c r="I50" s="478">
        <v>63</v>
      </c>
      <c r="J50" s="564">
        <v>63</v>
      </c>
      <c r="K50" s="478">
        <v>63</v>
      </c>
      <c r="L50" s="564">
        <v>63</v>
      </c>
      <c r="M50" s="478">
        <v>63</v>
      </c>
      <c r="N50" s="564">
        <v>63</v>
      </c>
      <c r="O50" s="478">
        <v>63</v>
      </c>
      <c r="P50" s="566">
        <f t="shared" si="14"/>
        <v>756</v>
      </c>
      <c r="Q50" s="3"/>
      <c r="R50" s="5"/>
      <c r="S50" s="4"/>
      <c r="T50" s="4"/>
      <c r="U50" s="4"/>
      <c r="V50" s="4"/>
      <c r="W50" s="4"/>
    </row>
    <row r="51" spans="1:23" s="185" customFormat="1" ht="15.75">
      <c r="A51" s="251"/>
      <c r="B51" s="154" t="s">
        <v>509</v>
      </c>
      <c r="C51" s="633">
        <v>1855.43</v>
      </c>
      <c r="D51" s="634">
        <v>1855.43</v>
      </c>
      <c r="E51" s="640">
        <v>1855.43</v>
      </c>
      <c r="F51" s="634">
        <v>1855.43</v>
      </c>
      <c r="G51" s="640">
        <v>1855.43</v>
      </c>
      <c r="H51" s="634">
        <v>1855.43</v>
      </c>
      <c r="I51" s="640">
        <v>1855.43</v>
      </c>
      <c r="J51" s="634">
        <v>1855.43</v>
      </c>
      <c r="K51" s="640">
        <v>1855.43</v>
      </c>
      <c r="L51" s="634">
        <v>1855.43</v>
      </c>
      <c r="M51" s="640">
        <v>1855.43</v>
      </c>
      <c r="N51" s="634">
        <v>1855.43</v>
      </c>
      <c r="O51" s="640">
        <v>1855.43</v>
      </c>
      <c r="P51" s="631">
        <f t="shared" si="14"/>
        <v>22265.16</v>
      </c>
      <c r="Q51" s="251"/>
      <c r="R51" s="636"/>
      <c r="S51" s="251"/>
      <c r="T51" s="251"/>
      <c r="U51" s="251"/>
      <c r="V51" s="251"/>
      <c r="W51" s="251"/>
    </row>
    <row r="52" spans="1:23" ht="18.75" thickBot="1">
      <c r="A52" s="442"/>
      <c r="B52" s="571" t="s">
        <v>510</v>
      </c>
      <c r="C52" s="572">
        <f>SUM(C32:C51)</f>
        <v>34171.170934999995</v>
      </c>
      <c r="D52" s="573">
        <f aca="true" t="shared" si="18" ref="D52:O52">SUM(D32:D51)</f>
        <v>33536.994907</v>
      </c>
      <c r="E52" s="574">
        <f t="shared" si="18"/>
        <v>34408.155441999996</v>
      </c>
      <c r="F52" s="573">
        <f t="shared" si="18"/>
        <v>34664.597852</v>
      </c>
      <c r="G52" s="574">
        <f t="shared" si="18"/>
        <v>35120.388852</v>
      </c>
      <c r="H52" s="573">
        <f t="shared" si="18"/>
        <v>34396.760666999995</v>
      </c>
      <c r="I52" s="574">
        <f t="shared" si="18"/>
        <v>34408.155441999996</v>
      </c>
      <c r="J52" s="573">
        <f t="shared" si="18"/>
        <v>34265.780727</v>
      </c>
      <c r="K52" s="574">
        <f t="shared" si="18"/>
        <v>34265.780727</v>
      </c>
      <c r="L52" s="573">
        <f t="shared" si="18"/>
        <v>34460.691351999994</v>
      </c>
      <c r="M52" s="574">
        <f t="shared" si="18"/>
        <v>33160.487552</v>
      </c>
      <c r="N52" s="573">
        <f t="shared" si="18"/>
        <v>33621.076352</v>
      </c>
      <c r="O52" s="574">
        <f t="shared" si="18"/>
        <v>33741.021351999996</v>
      </c>
      <c r="P52" s="575">
        <f t="shared" si="14"/>
        <v>410049.89122399996</v>
      </c>
      <c r="Q52" s="3"/>
      <c r="R52" s="5"/>
      <c r="S52" s="4"/>
      <c r="T52" s="4"/>
      <c r="U52" s="4"/>
      <c r="V52" s="4"/>
      <c r="W52" s="4"/>
    </row>
    <row r="53" spans="1:23" s="114" customFormat="1" ht="5.25" customHeight="1">
      <c r="A53" s="576"/>
      <c r="B53" s="565"/>
      <c r="C53" s="565"/>
      <c r="D53" s="3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577"/>
      <c r="S53" s="31"/>
      <c r="T53" s="31"/>
      <c r="U53" s="31"/>
      <c r="V53" s="31"/>
      <c r="W53" s="31"/>
    </row>
    <row r="54" spans="1:23" ht="16.5" thickBot="1">
      <c r="A54" s="442"/>
      <c r="B54" s="649" t="s">
        <v>513</v>
      </c>
      <c r="C54" s="650">
        <f aca="true" t="shared" si="19" ref="C54:P54">C29+C52</f>
        <v>51929.68805499999</v>
      </c>
      <c r="D54" s="650">
        <f t="shared" si="19"/>
        <v>48924.898267</v>
      </c>
      <c r="E54" s="650">
        <f t="shared" si="19"/>
        <v>53054.531122</v>
      </c>
      <c r="F54" s="650">
        <f t="shared" si="19"/>
        <v>54270.165852000006</v>
      </c>
      <c r="G54" s="650">
        <f t="shared" si="19"/>
        <v>56430.788852</v>
      </c>
      <c r="H54" s="650">
        <f t="shared" si="19"/>
        <v>53000.51554699999</v>
      </c>
      <c r="I54" s="650">
        <f t="shared" si="19"/>
        <v>53054.531122</v>
      </c>
      <c r="J54" s="650">
        <f t="shared" si="19"/>
        <v>52379.620727</v>
      </c>
      <c r="K54" s="650">
        <f t="shared" si="19"/>
        <v>52379.620727</v>
      </c>
      <c r="L54" s="650">
        <f t="shared" si="19"/>
        <v>53303.57135199999</v>
      </c>
      <c r="M54" s="650">
        <f t="shared" si="19"/>
        <v>47140.109952</v>
      </c>
      <c r="N54" s="650">
        <f t="shared" si="19"/>
        <v>49323.476352</v>
      </c>
      <c r="O54" s="650">
        <f t="shared" si="19"/>
        <v>49892.061352</v>
      </c>
      <c r="P54" s="650">
        <f t="shared" si="19"/>
        <v>623153.8912239999</v>
      </c>
      <c r="Q54" s="3"/>
      <c r="R54" s="5"/>
      <c r="S54" s="4"/>
      <c r="T54" s="4"/>
      <c r="U54" s="4"/>
      <c r="V54" s="4"/>
      <c r="W54" s="4"/>
    </row>
    <row r="55" spans="1:23" s="119" customFormat="1" ht="18.75" thickTop="1">
      <c r="A55" s="624"/>
      <c r="B55" s="34"/>
      <c r="C55" s="34"/>
      <c r="D55" s="30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46"/>
      <c r="S55" s="30"/>
      <c r="T55" s="30"/>
      <c r="U55" s="30"/>
      <c r="V55" s="30"/>
      <c r="W55" s="30"/>
    </row>
    <row r="56" spans="1:23" ht="15.75">
      <c r="A56" s="442"/>
      <c r="B56" s="569" t="s">
        <v>124</v>
      </c>
      <c r="C56" s="570">
        <f aca="true" t="shared" si="20" ref="C56:P56">C19-C54</f>
        <v>7048.981945000007</v>
      </c>
      <c r="D56" s="570">
        <f t="shared" si="20"/>
        <v>22180.611733000012</v>
      </c>
      <c r="E56" s="570">
        <f t="shared" si="20"/>
        <v>31053.460611000002</v>
      </c>
      <c r="F56" s="570">
        <f t="shared" si="20"/>
        <v>41896.294759</v>
      </c>
      <c r="G56" s="570">
        <f t="shared" si="20"/>
        <v>56240.505907</v>
      </c>
      <c r="H56" s="570">
        <f t="shared" si="20"/>
        <v>65025.82036000001</v>
      </c>
      <c r="I56" s="570">
        <f t="shared" si="20"/>
        <v>73898.66923800002</v>
      </c>
      <c r="J56" s="570">
        <f t="shared" si="20"/>
        <v>81677.798511</v>
      </c>
      <c r="K56" s="570">
        <f t="shared" si="20"/>
        <v>89456.927784</v>
      </c>
      <c r="L56" s="570">
        <f t="shared" si="20"/>
        <v>98733.356432</v>
      </c>
      <c r="M56" s="570">
        <f t="shared" si="20"/>
        <v>98021.64648</v>
      </c>
      <c r="N56" s="570">
        <f t="shared" si="20"/>
        <v>100848.170128</v>
      </c>
      <c r="O56" s="570">
        <f t="shared" si="20"/>
        <v>104596.10877600001</v>
      </c>
      <c r="P56" s="570">
        <f t="shared" si="20"/>
        <v>104596.1087760001</v>
      </c>
      <c r="Q56" s="3"/>
      <c r="R56" s="5"/>
      <c r="S56" s="4"/>
      <c r="T56" s="4"/>
      <c r="U56" s="4"/>
      <c r="V56" s="4"/>
      <c r="W56" s="4"/>
    </row>
    <row r="57" spans="1:23" s="119" customFormat="1" ht="15.75">
      <c r="A57" s="624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6"/>
      <c r="R57" s="646"/>
      <c r="S57" s="30"/>
      <c r="T57" s="30"/>
      <c r="U57" s="30"/>
      <c r="V57" s="30"/>
      <c r="W57" s="30"/>
    </row>
    <row r="58" spans="1:23" ht="19.5">
      <c r="A58" s="442"/>
      <c r="B58" s="567" t="s">
        <v>192</v>
      </c>
      <c r="C58" s="568">
        <f>C56</f>
        <v>7048.981945000007</v>
      </c>
      <c r="D58" s="568">
        <f aca="true" t="shared" si="21" ref="D58:P58">D56</f>
        <v>22180.611733000012</v>
      </c>
      <c r="E58" s="568">
        <f t="shared" si="21"/>
        <v>31053.460611000002</v>
      </c>
      <c r="F58" s="568">
        <f t="shared" si="21"/>
        <v>41896.294759</v>
      </c>
      <c r="G58" s="568">
        <f t="shared" si="21"/>
        <v>56240.505907</v>
      </c>
      <c r="H58" s="568">
        <f t="shared" si="21"/>
        <v>65025.82036000001</v>
      </c>
      <c r="I58" s="568">
        <f t="shared" si="21"/>
        <v>73898.66923800002</v>
      </c>
      <c r="J58" s="568">
        <f t="shared" si="21"/>
        <v>81677.798511</v>
      </c>
      <c r="K58" s="568">
        <f t="shared" si="21"/>
        <v>89456.927784</v>
      </c>
      <c r="L58" s="568">
        <f t="shared" si="21"/>
        <v>98733.356432</v>
      </c>
      <c r="M58" s="568">
        <f t="shared" si="21"/>
        <v>98021.64648</v>
      </c>
      <c r="N58" s="568">
        <f t="shared" si="21"/>
        <v>100848.170128</v>
      </c>
      <c r="O58" s="568">
        <f t="shared" si="21"/>
        <v>104596.10877600001</v>
      </c>
      <c r="P58" s="568">
        <f t="shared" si="21"/>
        <v>104596.1087760001</v>
      </c>
      <c r="Q58" s="3"/>
      <c r="R58" s="5"/>
      <c r="S58" s="4"/>
      <c r="T58" s="4"/>
      <c r="U58" s="4"/>
      <c r="V58" s="4"/>
      <c r="W58" s="4"/>
    </row>
    <row r="59" spans="1:23" ht="15.75">
      <c r="A59" s="442"/>
      <c r="B59" s="140"/>
      <c r="C59" s="140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5"/>
      <c r="S59" s="4"/>
      <c r="T59" s="4"/>
      <c r="U59" s="4"/>
      <c r="V59" s="4"/>
      <c r="W59" s="4"/>
    </row>
    <row r="60" spans="1:23" ht="15.75">
      <c r="A60" s="442"/>
      <c r="B60" s="140" t="s">
        <v>542</v>
      </c>
      <c r="C60" s="140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5"/>
      <c r="S60" s="4"/>
      <c r="T60" s="4"/>
      <c r="U60" s="4"/>
      <c r="V60" s="4"/>
      <c r="W60" s="4"/>
    </row>
    <row r="61" spans="1:23" ht="15.75">
      <c r="A61" s="442"/>
      <c r="B61" s="141" t="s">
        <v>561</v>
      </c>
      <c r="C61" s="140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5"/>
      <c r="S61" s="4"/>
      <c r="T61" s="4"/>
      <c r="U61" s="4"/>
      <c r="V61" s="4"/>
      <c r="W61" s="4"/>
    </row>
    <row r="62" spans="1:23" ht="15.75">
      <c r="A62" s="442"/>
      <c r="B62" s="141" t="s">
        <v>543</v>
      </c>
      <c r="C62" s="140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5"/>
      <c r="S62" s="4"/>
      <c r="T62" s="4"/>
      <c r="U62" s="4"/>
      <c r="V62" s="4"/>
      <c r="W62" s="4"/>
    </row>
    <row r="63" spans="1:23" ht="15.75">
      <c r="A63" s="442"/>
      <c r="B63" s="141" t="s">
        <v>544</v>
      </c>
      <c r="C63" s="140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5"/>
      <c r="S63" s="4"/>
      <c r="T63" s="4"/>
      <c r="U63" s="4"/>
      <c r="V63" s="4"/>
      <c r="W63" s="4"/>
    </row>
    <row r="64" spans="1:23" ht="15.75">
      <c r="A64" s="442"/>
      <c r="B64" s="141" t="s">
        <v>545</v>
      </c>
      <c r="C64" s="140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5"/>
      <c r="S64" s="4"/>
      <c r="T64" s="4"/>
      <c r="U64" s="4"/>
      <c r="V64" s="4"/>
      <c r="W64" s="4"/>
    </row>
    <row r="65" spans="1:23" ht="15.75">
      <c r="A65" s="442"/>
      <c r="B65" s="141" t="s">
        <v>546</v>
      </c>
      <c r="C65" s="140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5"/>
      <c r="S65" s="4"/>
      <c r="T65" s="4"/>
      <c r="U65" s="4"/>
      <c r="V65" s="4"/>
      <c r="W65" s="4"/>
    </row>
    <row r="66" spans="1:18" s="226" customFormat="1" ht="12.75">
      <c r="A66" s="579"/>
      <c r="B66" s="226" t="s">
        <v>515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580"/>
    </row>
    <row r="68" ht="12.75">
      <c r="B68" t="s">
        <v>541</v>
      </c>
    </row>
  </sheetData>
  <sheetProtection/>
  <printOptions/>
  <pageMargins left="0.17" right="0.19" top="0.34" bottom="0.31" header="0.29" footer="0.16"/>
  <pageSetup horizontalDpi="600" verticalDpi="600" orientation="landscape" paperSize="3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Bella Luna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Moronta</dc:creator>
  <cp:keywords/>
  <dc:description/>
  <cp:lastModifiedBy>Microsoft Office User</cp:lastModifiedBy>
  <cp:lastPrinted>2011-02-08T17:52:51Z</cp:lastPrinted>
  <dcterms:created xsi:type="dcterms:W3CDTF">2008-12-17T14:25:46Z</dcterms:created>
  <dcterms:modified xsi:type="dcterms:W3CDTF">2019-12-03T18:06:36Z</dcterms:modified>
  <cp:category/>
  <cp:version/>
  <cp:contentType/>
  <cp:contentStatus/>
</cp:coreProperties>
</file>